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0" yWindow="0" windowWidth="15360" windowHeight="14616" tabRatio="930" activeTab="1"/>
  </bookViews>
  <sheets>
    <sheet name="VFD Costs 2018 RS Means REA" sheetId="11" r:id="rId1"/>
    <sheet name="Air Compressor Costs New-ROB" sheetId="14" r:id="rId2"/>
    <sheet name="Grainger 2018" sheetId="12" r:id="rId3"/>
    <sheet name="AM+ Results" sheetId="7" r:id="rId4"/>
    <sheet name="compressor calculations" sheetId="1" r:id="rId5"/>
    <sheet name="Building types" sheetId="10" r:id="rId6"/>
  </sheets>
  <calcPr calcId="145621" concurrentCalc="0"/>
  <pivotCaches>
    <pivotCache cacheId="0" r:id="rId7"/>
  </pivotCaches>
</workbook>
</file>

<file path=xl/calcChain.xml><?xml version="1.0" encoding="utf-8"?>
<calcChain xmlns="http://schemas.openxmlformats.org/spreadsheetml/2006/main">
  <c r="C10" i="14" l="1"/>
  <c r="R27" i="14"/>
  <c r="E11" i="14"/>
  <c r="E10" i="14"/>
  <c r="I10" i="14"/>
  <c r="J10" i="14"/>
  <c r="G11" i="14"/>
  <c r="G10" i="14"/>
  <c r="D11" i="14"/>
  <c r="C11" i="14"/>
  <c r="D10" i="14"/>
  <c r="H10" i="14"/>
  <c r="S10" i="11"/>
  <c r="N22" i="14"/>
  <c r="P22" i="14"/>
  <c r="P27" i="14"/>
  <c r="Q35" i="11"/>
  <c r="O35" i="11"/>
  <c r="Q47" i="11"/>
  <c r="Q46" i="11"/>
  <c r="Q45" i="11"/>
  <c r="Q44" i="11"/>
  <c r="Q43" i="11"/>
  <c r="Q42" i="11"/>
  <c r="Q41" i="11"/>
  <c r="Q40" i="11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3" i="11"/>
  <c r="Q12" i="11"/>
  <c r="Q9" i="11"/>
  <c r="Q8" i="11"/>
  <c r="Q7" i="11"/>
  <c r="H6" i="11"/>
  <c r="P47" i="11"/>
  <c r="P46" i="11"/>
  <c r="P45" i="11"/>
  <c r="P44" i="11"/>
  <c r="P43" i="11"/>
  <c r="P42" i="11"/>
  <c r="P41" i="11"/>
  <c r="P40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3" i="11"/>
  <c r="P12" i="11"/>
  <c r="P8" i="11"/>
  <c r="P9" i="11"/>
  <c r="P7" i="11"/>
  <c r="G6" i="11"/>
  <c r="P35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L5" i="12"/>
  <c r="L4" i="12"/>
  <c r="I74" i="12"/>
  <c r="I73" i="12"/>
  <c r="I72" i="12"/>
  <c r="I71" i="12"/>
  <c r="I70" i="12"/>
  <c r="I69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I11" i="12"/>
  <c r="I10" i="12"/>
  <c r="I9" i="12"/>
  <c r="I8" i="12"/>
  <c r="I7" i="12"/>
  <c r="I6" i="12"/>
  <c r="I5" i="12"/>
  <c r="I4" i="12"/>
  <c r="T30" i="1"/>
  <c r="S30" i="1"/>
  <c r="M30" i="1"/>
  <c r="L30" i="1"/>
  <c r="K30" i="1"/>
  <c r="J30" i="1"/>
  <c r="D30" i="1"/>
  <c r="E30" i="1"/>
  <c r="F30" i="1"/>
  <c r="T29" i="1"/>
  <c r="S29" i="1"/>
  <c r="M29" i="1"/>
  <c r="L29" i="1"/>
  <c r="K29" i="1"/>
  <c r="J29" i="1"/>
  <c r="D29" i="1"/>
  <c r="E29" i="1"/>
  <c r="T28" i="1"/>
  <c r="S28" i="1"/>
  <c r="M28" i="1"/>
  <c r="L28" i="1"/>
  <c r="K28" i="1"/>
  <c r="J28" i="1"/>
  <c r="D28" i="1"/>
  <c r="E28" i="1"/>
  <c r="T27" i="1"/>
  <c r="S27" i="1"/>
  <c r="M27" i="1"/>
  <c r="L27" i="1"/>
  <c r="K27" i="1"/>
  <c r="J27" i="1"/>
  <c r="D27" i="1"/>
  <c r="E27" i="1"/>
  <c r="F27" i="1"/>
  <c r="T26" i="1"/>
  <c r="S26" i="1"/>
  <c r="M26" i="1"/>
  <c r="L26" i="1"/>
  <c r="K26" i="1"/>
  <c r="J26" i="1"/>
  <c r="D26" i="1"/>
  <c r="E26" i="1"/>
  <c r="T25" i="1"/>
  <c r="S25" i="1"/>
  <c r="M25" i="1"/>
  <c r="L25" i="1"/>
  <c r="K25" i="1"/>
  <c r="J25" i="1"/>
  <c r="D25" i="1"/>
  <c r="E25" i="1"/>
  <c r="T24" i="1"/>
  <c r="S24" i="1"/>
  <c r="M24" i="1"/>
  <c r="L24" i="1"/>
  <c r="K24" i="1"/>
  <c r="J24" i="1"/>
  <c r="D24" i="1"/>
  <c r="E24" i="1"/>
  <c r="T23" i="1"/>
  <c r="S23" i="1"/>
  <c r="M23" i="1"/>
  <c r="L23" i="1"/>
  <c r="K23" i="1"/>
  <c r="J23" i="1"/>
  <c r="D23" i="1"/>
  <c r="E23" i="1"/>
  <c r="F23" i="1"/>
  <c r="T22" i="1"/>
  <c r="S22" i="1"/>
  <c r="M22" i="1"/>
  <c r="L22" i="1"/>
  <c r="K22" i="1"/>
  <c r="J22" i="1"/>
  <c r="D22" i="1"/>
  <c r="E22" i="1"/>
  <c r="T21" i="1"/>
  <c r="S21" i="1"/>
  <c r="M21" i="1"/>
  <c r="L21" i="1"/>
  <c r="K21" i="1"/>
  <c r="J21" i="1"/>
  <c r="D21" i="1"/>
  <c r="E21" i="1"/>
  <c r="F21" i="1"/>
  <c r="T20" i="1"/>
  <c r="S20" i="1"/>
  <c r="M20" i="1"/>
  <c r="L20" i="1"/>
  <c r="K20" i="1"/>
  <c r="J20" i="1"/>
  <c r="D20" i="1"/>
  <c r="E20" i="1"/>
  <c r="F20" i="1"/>
  <c r="T19" i="1"/>
  <c r="S19" i="1"/>
  <c r="M19" i="1"/>
  <c r="L19" i="1"/>
  <c r="K19" i="1"/>
  <c r="J19" i="1"/>
  <c r="D19" i="1"/>
  <c r="E19" i="1"/>
  <c r="F19" i="1"/>
  <c r="T18" i="1"/>
  <c r="S18" i="1"/>
  <c r="M18" i="1"/>
  <c r="L18" i="1"/>
  <c r="K18" i="1"/>
  <c r="J18" i="1"/>
  <c r="D18" i="1"/>
  <c r="E18" i="1"/>
  <c r="T17" i="1"/>
  <c r="S17" i="1"/>
  <c r="M17" i="1"/>
  <c r="L17" i="1"/>
  <c r="K17" i="1"/>
  <c r="J17" i="1"/>
  <c r="D17" i="1"/>
  <c r="E17" i="1"/>
  <c r="T16" i="1"/>
  <c r="S16" i="1"/>
  <c r="M16" i="1"/>
  <c r="L16" i="1"/>
  <c r="K16" i="1"/>
  <c r="J16" i="1"/>
  <c r="D16" i="1"/>
  <c r="E16" i="1"/>
  <c r="T15" i="1"/>
  <c r="S15" i="1"/>
  <c r="M15" i="1"/>
  <c r="L15" i="1"/>
  <c r="K15" i="1"/>
  <c r="J15" i="1"/>
  <c r="E15" i="1"/>
  <c r="F15" i="1"/>
  <c r="D15" i="1"/>
  <c r="A5" i="1"/>
  <c r="E3" i="1"/>
  <c r="E4" i="1"/>
  <c r="B93" i="7"/>
  <c r="B94" i="7"/>
  <c r="F81" i="7"/>
  <c r="E81" i="7"/>
  <c r="F76" i="7"/>
  <c r="E76" i="7"/>
  <c r="F71" i="7"/>
  <c r="E71" i="7"/>
  <c r="F66" i="7"/>
  <c r="E66" i="7"/>
  <c r="F61" i="7"/>
  <c r="E61" i="7"/>
  <c r="F56" i="7"/>
  <c r="E56" i="7"/>
  <c r="F51" i="7"/>
  <c r="E51" i="7"/>
  <c r="F46" i="7"/>
  <c r="E46" i="7"/>
  <c r="F41" i="7"/>
  <c r="E41" i="7"/>
  <c r="F36" i="7"/>
  <c r="E36" i="7"/>
  <c r="F31" i="7"/>
  <c r="E31" i="7"/>
  <c r="F26" i="7"/>
  <c r="E26" i="7"/>
  <c r="F21" i="7"/>
  <c r="E21" i="7"/>
  <c r="F16" i="7"/>
  <c r="E16" i="7"/>
  <c r="Y13" i="7"/>
  <c r="Y11" i="7"/>
  <c r="Y14" i="7"/>
  <c r="Y18" i="7"/>
  <c r="Y22" i="7"/>
  <c r="X11" i="7"/>
  <c r="X14" i="7"/>
  <c r="X18" i="7"/>
  <c r="X22" i="7"/>
  <c r="W11" i="7"/>
  <c r="W14" i="7"/>
  <c r="W18" i="7"/>
  <c r="W22" i="7"/>
  <c r="V11" i="7"/>
  <c r="V14" i="7"/>
  <c r="V18" i="7"/>
  <c r="V22" i="7"/>
  <c r="U11" i="7"/>
  <c r="U14" i="7"/>
  <c r="U18" i="7"/>
  <c r="U22" i="7"/>
  <c r="T11" i="7"/>
  <c r="T14" i="7"/>
  <c r="T18" i="7"/>
  <c r="T22" i="7"/>
  <c r="S11" i="7"/>
  <c r="S14" i="7"/>
  <c r="S18" i="7"/>
  <c r="S22" i="7"/>
  <c r="R11" i="7"/>
  <c r="R14" i="7"/>
  <c r="R18" i="7"/>
  <c r="R22" i="7"/>
  <c r="Q11" i="7"/>
  <c r="Q14" i="7"/>
  <c r="Q18" i="7"/>
  <c r="Q22" i="7"/>
  <c r="P11" i="7"/>
  <c r="P14" i="7"/>
  <c r="P18" i="7"/>
  <c r="P22" i="7"/>
  <c r="O11" i="7"/>
  <c r="O14" i="7"/>
  <c r="O18" i="7"/>
  <c r="O22" i="7"/>
  <c r="N11" i="7"/>
  <c r="N14" i="7"/>
  <c r="N18" i="7"/>
  <c r="N22" i="7"/>
  <c r="M11" i="7"/>
  <c r="M14" i="7"/>
  <c r="M18" i="7"/>
  <c r="L11" i="7"/>
  <c r="L14" i="7"/>
  <c r="L18" i="7"/>
  <c r="L22" i="7"/>
  <c r="K11" i="7"/>
  <c r="K14" i="7"/>
  <c r="K18" i="7"/>
  <c r="K22" i="7"/>
  <c r="J11" i="7"/>
  <c r="J14" i="7"/>
  <c r="J18" i="7"/>
  <c r="F11" i="7"/>
  <c r="E11" i="7"/>
  <c r="Y10" i="7"/>
  <c r="X10" i="7"/>
  <c r="X13" i="7"/>
  <c r="W10" i="7"/>
  <c r="W13" i="7"/>
  <c r="W17" i="7"/>
  <c r="V10" i="7"/>
  <c r="V13" i="7"/>
  <c r="V15" i="7"/>
  <c r="U10" i="7"/>
  <c r="U13" i="7"/>
  <c r="T10" i="7"/>
  <c r="T13" i="7"/>
  <c r="S10" i="7"/>
  <c r="S13" i="7"/>
  <c r="S17" i="7"/>
  <c r="R10" i="7"/>
  <c r="R13" i="7"/>
  <c r="R17" i="7"/>
  <c r="Q10" i="7"/>
  <c r="Q13" i="7"/>
  <c r="P10" i="7"/>
  <c r="P13" i="7"/>
  <c r="O10" i="7"/>
  <c r="O13" i="7"/>
  <c r="O17" i="7"/>
  <c r="N10" i="7"/>
  <c r="N13" i="7"/>
  <c r="N15" i="7"/>
  <c r="M10" i="7"/>
  <c r="M13" i="7"/>
  <c r="L10" i="7"/>
  <c r="L13" i="7"/>
  <c r="K10" i="7"/>
  <c r="K13" i="7"/>
  <c r="K17" i="7"/>
  <c r="J10" i="7"/>
  <c r="J13" i="7"/>
  <c r="J17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F6" i="7"/>
  <c r="E6" i="7"/>
  <c r="G66" i="14"/>
  <c r="Q41" i="14"/>
  <c r="G57" i="14"/>
  <c r="G56" i="14"/>
  <c r="G45" i="14"/>
  <c r="G44" i="14"/>
  <c r="G43" i="14"/>
  <c r="Q34" i="14"/>
  <c r="P41" i="14"/>
  <c r="O41" i="14"/>
  <c r="Q40" i="14"/>
  <c r="P40" i="14"/>
  <c r="D21" i="14"/>
  <c r="O40" i="14"/>
  <c r="C21" i="14"/>
  <c r="Q39" i="14"/>
  <c r="P39" i="14"/>
  <c r="O39" i="14"/>
  <c r="C20" i="14"/>
  <c r="Q38" i="14"/>
  <c r="P38" i="14"/>
  <c r="O38" i="14"/>
  <c r="P37" i="14"/>
  <c r="O37" i="14"/>
  <c r="C18" i="14"/>
  <c r="G36" i="14"/>
  <c r="Q37" i="14"/>
  <c r="Q42" i="14"/>
  <c r="P35" i="14"/>
  <c r="O35" i="14"/>
  <c r="G35" i="14"/>
  <c r="Q35" i="14"/>
  <c r="P34" i="14"/>
  <c r="D16" i="14"/>
  <c r="O34" i="14"/>
  <c r="C16" i="14"/>
  <c r="G34" i="14"/>
  <c r="Q33" i="14"/>
  <c r="P33" i="14"/>
  <c r="O33" i="14"/>
  <c r="Q26" i="14"/>
  <c r="N26" i="14"/>
  <c r="P26" i="14"/>
  <c r="Q25" i="14"/>
  <c r="Q28" i="14"/>
  <c r="N25" i="14"/>
  <c r="P25" i="14"/>
  <c r="Q24" i="14"/>
  <c r="N24" i="14"/>
  <c r="P24" i="14"/>
  <c r="Q23" i="14"/>
  <c r="N23" i="14"/>
  <c r="P23" i="14"/>
  <c r="Q22" i="14"/>
  <c r="D22" i="14"/>
  <c r="C22" i="14"/>
  <c r="D20" i="14"/>
  <c r="D19" i="14"/>
  <c r="C19" i="14"/>
  <c r="D18" i="14"/>
  <c r="D17" i="14"/>
  <c r="C17" i="14"/>
  <c r="D15" i="14"/>
  <c r="C15" i="14"/>
  <c r="G9" i="14"/>
  <c r="E9" i="14"/>
  <c r="D9" i="14"/>
  <c r="C9" i="14"/>
  <c r="G8" i="14"/>
  <c r="D8" i="14"/>
  <c r="C8" i="14"/>
  <c r="G7" i="14"/>
  <c r="E7" i="14"/>
  <c r="D7" i="14"/>
  <c r="C7" i="14"/>
  <c r="G6" i="14"/>
  <c r="D6" i="14"/>
  <c r="C6" i="14"/>
  <c r="E6" i="14"/>
  <c r="G5" i="14"/>
  <c r="E5" i="14"/>
  <c r="D5" i="14"/>
  <c r="C5" i="14"/>
  <c r="M5" i="12"/>
  <c r="M4" i="12"/>
  <c r="I3" i="12"/>
  <c r="O42" i="11"/>
  <c r="O41" i="11"/>
  <c r="B23" i="11"/>
  <c r="B22" i="11"/>
  <c r="O20" i="11"/>
  <c r="O21" i="11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S12" i="11"/>
  <c r="F12" i="11"/>
  <c r="E12" i="11"/>
  <c r="F11" i="11"/>
  <c r="E11" i="11"/>
  <c r="F10" i="11"/>
  <c r="E10" i="11"/>
  <c r="O9" i="11"/>
  <c r="F9" i="11"/>
  <c r="E9" i="11"/>
  <c r="F8" i="11"/>
  <c r="E8" i="11"/>
  <c r="F7" i="11"/>
  <c r="E7" i="11"/>
  <c r="F6" i="11"/>
  <c r="S13" i="11"/>
  <c r="S14" i="11"/>
  <c r="E8" i="14"/>
  <c r="F18" i="1"/>
  <c r="F29" i="1"/>
  <c r="S7" i="11"/>
  <c r="B24" i="11"/>
  <c r="O42" i="14"/>
  <c r="F17" i="1"/>
  <c r="F28" i="1"/>
  <c r="F16" i="1"/>
  <c r="F26" i="1"/>
  <c r="S32" i="1"/>
  <c r="F25" i="1"/>
  <c r="Q27" i="14"/>
  <c r="F24" i="1"/>
  <c r="S8" i="11"/>
  <c r="T32" i="1"/>
  <c r="F22" i="1"/>
  <c r="K21" i="7"/>
  <c r="K23" i="7"/>
  <c r="K19" i="7"/>
  <c r="O21" i="7"/>
  <c r="O23" i="7"/>
  <c r="O19" i="7"/>
  <c r="S21" i="7"/>
  <c r="S23" i="7"/>
  <c r="S19" i="7"/>
  <c r="W21" i="7"/>
  <c r="W23" i="7"/>
  <c r="W19" i="7"/>
  <c r="M22" i="7"/>
  <c r="AB21" i="7"/>
  <c r="AC21" i="7"/>
  <c r="J22" i="7"/>
  <c r="AB20" i="7"/>
  <c r="AC20" i="7"/>
  <c r="O22" i="11"/>
  <c r="J21" i="7"/>
  <c r="J19" i="7"/>
  <c r="R21" i="7"/>
  <c r="R23" i="7"/>
  <c r="R19" i="7"/>
  <c r="X17" i="7"/>
  <c r="X15" i="7"/>
  <c r="N17" i="7"/>
  <c r="V17" i="7"/>
  <c r="O43" i="11"/>
  <c r="I11" i="14"/>
  <c r="P28" i="14"/>
  <c r="R28" i="14"/>
  <c r="P42" i="14"/>
  <c r="L17" i="7"/>
  <c r="AC14" i="7"/>
  <c r="L15" i="7"/>
  <c r="T17" i="7"/>
  <c r="T15" i="7"/>
  <c r="J15" i="7"/>
  <c r="R15" i="7"/>
  <c r="H11" i="14"/>
  <c r="M17" i="7"/>
  <c r="M15" i="7"/>
  <c r="U17" i="7"/>
  <c r="U15" i="7"/>
  <c r="K15" i="7"/>
  <c r="S15" i="7"/>
  <c r="S31" i="1"/>
  <c r="P17" i="7"/>
  <c r="P15" i="7"/>
  <c r="T31" i="1"/>
  <c r="Q17" i="7"/>
  <c r="Q15" i="7"/>
  <c r="Y17" i="7"/>
  <c r="Y15" i="7"/>
  <c r="O15" i="7"/>
  <c r="W15" i="7"/>
  <c r="S15" i="11"/>
  <c r="S9" i="11"/>
  <c r="B25" i="11"/>
  <c r="L21" i="7"/>
  <c r="L23" i="7"/>
  <c r="L19" i="7"/>
  <c r="AC8" i="7"/>
  <c r="O44" i="11"/>
  <c r="X21" i="7"/>
  <c r="X23" i="7"/>
  <c r="X19" i="7"/>
  <c r="Y21" i="7"/>
  <c r="Y23" i="7"/>
  <c r="Y19" i="7"/>
  <c r="P21" i="7"/>
  <c r="P23" i="7"/>
  <c r="P19" i="7"/>
  <c r="M21" i="7"/>
  <c r="M19" i="7"/>
  <c r="AC15" i="7"/>
  <c r="V21" i="7"/>
  <c r="V23" i="7"/>
  <c r="V19" i="7"/>
  <c r="B26" i="11"/>
  <c r="J23" i="7"/>
  <c r="AB8" i="7"/>
  <c r="O23" i="11"/>
  <c r="T21" i="7"/>
  <c r="T23" i="7"/>
  <c r="T19" i="7"/>
  <c r="N21" i="7"/>
  <c r="N23" i="7"/>
  <c r="N19" i="7"/>
  <c r="Q21" i="7"/>
  <c r="Q23" i="7"/>
  <c r="Q19" i="7"/>
  <c r="U21" i="7"/>
  <c r="U23" i="7"/>
  <c r="U19" i="7"/>
  <c r="J11" i="14"/>
  <c r="AB14" i="7"/>
  <c r="O45" i="11"/>
  <c r="O24" i="11"/>
  <c r="B27" i="11"/>
  <c r="AC9" i="7"/>
  <c r="M23" i="7"/>
  <c r="AB9" i="7"/>
  <c r="AB15" i="7"/>
  <c r="O46" i="11"/>
  <c r="B28" i="11"/>
  <c r="O25" i="11"/>
  <c r="O26" i="11"/>
  <c r="O47" i="11"/>
  <c r="B29" i="11"/>
  <c r="S41" i="11"/>
  <c r="S40" i="11"/>
  <c r="B30" i="11"/>
  <c r="O27" i="11"/>
  <c r="S42" i="11"/>
  <c r="O28" i="11"/>
  <c r="B31" i="11"/>
  <c r="O29" i="11"/>
  <c r="B32" i="11"/>
  <c r="B33" i="11"/>
  <c r="O30" i="11"/>
  <c r="B34" i="11"/>
  <c r="O31" i="11"/>
  <c r="O32" i="11"/>
  <c r="O33" i="11"/>
  <c r="O34" i="11"/>
  <c r="O36" i="11"/>
  <c r="Q36" i="11"/>
  <c r="P36" i="11"/>
  <c r="O37" i="11"/>
  <c r="P37" i="11"/>
  <c r="Q37" i="11"/>
  <c r="S19" i="11"/>
  <c r="S20" i="11"/>
  <c r="S21" i="11"/>
</calcChain>
</file>

<file path=xl/comments1.xml><?xml version="1.0" encoding="utf-8"?>
<comments xmlns="http://schemas.openxmlformats.org/spreadsheetml/2006/main">
  <authors>
    <author>Standard Configuration</author>
  </authors>
  <commentList>
    <comment ref="F4" authorId="0">
      <text>
        <r>
          <rPr>
            <b/>
            <sz val="9"/>
            <color indexed="81"/>
            <rFont val="Tahoma"/>
            <family val="2"/>
          </rPr>
          <t>Standard Configuration:</t>
        </r>
        <r>
          <rPr>
            <sz val="9"/>
            <color indexed="81"/>
            <rFont val="Tahoma"/>
            <family val="2"/>
          </rPr>
          <t xml:space="preserve">
2018 RS Means</t>
        </r>
      </text>
    </comment>
    <comment ref="O21" authorId="0">
      <text>
        <r>
          <rPr>
            <b/>
            <sz val="9"/>
            <color indexed="81"/>
            <rFont val="Tahoma"/>
            <family val="2"/>
          </rPr>
          <t>Standard Configuration:</t>
        </r>
        <r>
          <rPr>
            <sz val="9"/>
            <color indexed="81"/>
            <rFont val="Tahoma"/>
            <family val="2"/>
          </rPr>
          <t xml:space="preserve">
2018 RS Means</t>
        </r>
      </text>
    </comment>
  </commentList>
</comments>
</file>

<file path=xl/sharedStrings.xml><?xml version="1.0" encoding="utf-8"?>
<sst xmlns="http://schemas.openxmlformats.org/spreadsheetml/2006/main" count="662" uniqueCount="267">
  <si>
    <t>HP</t>
  </si>
  <si>
    <t>enclosed $</t>
  </si>
  <si>
    <t>enclosed $/HP</t>
  </si>
  <si>
    <t>trendline
enclosed $/HP</t>
  </si>
  <si>
    <t>gal/cfm</t>
  </si>
  <si>
    <t>gal/cf</t>
  </si>
  <si>
    <t>cf/cfm</t>
  </si>
  <si>
    <t>hr/year</t>
  </si>
  <si>
    <t>days/year</t>
  </si>
  <si>
    <t>full load
ACFM</t>
  </si>
  <si>
    <t>Part load
ACFM</t>
  </si>
  <si>
    <t>% full load</t>
  </si>
  <si>
    <t>Storage
gal</t>
  </si>
  <si>
    <t>Storage
CF</t>
  </si>
  <si>
    <t>full load
power
kW</t>
  </si>
  <si>
    <t>max full
load power
kW</t>
  </si>
  <si>
    <t>% VFD overhead</t>
  </si>
  <si>
    <t>no load
power
kW</t>
  </si>
  <si>
    <t>savings
kWh</t>
  </si>
  <si>
    <t>savings
kW</t>
  </si>
  <si>
    <t>savings
kWh %</t>
  </si>
  <si>
    <t>savings
kWh/HP</t>
  </si>
  <si>
    <t>savings
kW/HP</t>
  </si>
  <si>
    <t>average</t>
  </si>
  <si>
    <t>weighted average</t>
  </si>
  <si>
    <t>gal/cfm storage</t>
  </si>
  <si>
    <t>% at unload point</t>
  </si>
  <si>
    <t>Note:  results can be scaled to operating hours.</t>
  </si>
  <si>
    <t>Assumptions:</t>
  </si>
  <si>
    <t>unload point
ACFM</t>
  </si>
  <si>
    <t>Total OpHrs</t>
  </si>
  <si>
    <t>Avg Airflow, acfm</t>
  </si>
  <si>
    <t>Peak Demand, kW</t>
  </si>
  <si>
    <t>Annual Energy, kWh</t>
  </si>
  <si>
    <t>System Totals</t>
  </si>
  <si>
    <t>25 HP</t>
  </si>
  <si>
    <t>50 HP</t>
  </si>
  <si>
    <t>75 HP</t>
  </si>
  <si>
    <t>100 HP</t>
  </si>
  <si>
    <t>125 HP</t>
  </si>
  <si>
    <t>150 HP</t>
  </si>
  <si>
    <t>200 HP</t>
  </si>
  <si>
    <t>250 HP</t>
  </si>
  <si>
    <t>300 HP</t>
  </si>
  <si>
    <t>400 HP</t>
  </si>
  <si>
    <t>500 HP</t>
  </si>
  <si>
    <t>load/unload</t>
  </si>
  <si>
    <t>VFD</t>
  </si>
  <si>
    <t>Savings</t>
  </si>
  <si>
    <t>Summary</t>
  </si>
  <si>
    <t>Base kW</t>
  </si>
  <si>
    <t>Measure kW</t>
  </si>
  <si>
    <t>Base kWh (per 8400 op hours)</t>
  </si>
  <si>
    <t>Measure kWh (per 8400 op hours)</t>
  </si>
  <si>
    <t>DEER Operating Hours</t>
  </si>
  <si>
    <t>Base kWh (per DEER op hours)</t>
  </si>
  <si>
    <t>Measure kWh (per DEER op hours)</t>
  </si>
  <si>
    <t>Modeled Operating Hours</t>
  </si>
  <si>
    <t>Base kWh/HP</t>
  </si>
  <si>
    <t>Measure kWh/HP</t>
  </si>
  <si>
    <t>Saved kWh/HP</t>
  </si>
  <si>
    <t>Saved kWh</t>
  </si>
  <si>
    <t>Base kW/HP</t>
  </si>
  <si>
    <t>Saved kW/HP</t>
  </si>
  <si>
    <t>Measure kW/HP</t>
  </si>
  <si>
    <t>unload
kW</t>
  </si>
  <si>
    <t>labor $/HP
(enclosed)</t>
  </si>
  <si>
    <t>labor $
(enclosed)</t>
  </si>
  <si>
    <t>trendline
labor $/HP
(enclosed)</t>
  </si>
  <si>
    <t>VFD Compressor inputs</t>
  </si>
  <si>
    <t>AirMaster+ Load/Unload Compressor Description</t>
  </si>
  <si>
    <t>$/HP</t>
  </si>
  <si>
    <t>5 HP</t>
  </si>
  <si>
    <t>7.5 HP</t>
  </si>
  <si>
    <t>full load power
kW</t>
  </si>
  <si>
    <t>10 HP</t>
  </si>
  <si>
    <t>15 HP</t>
  </si>
  <si>
    <t>20 HP</t>
  </si>
  <si>
    <t>AirMaster+ Results</t>
  </si>
  <si>
    <t>50 HP to 500 HP</t>
  </si>
  <si>
    <t>RS Means includes cost estimates from 3 HP to 200 HP.</t>
  </si>
  <si>
    <t xml:space="preserve"> Estimates for larger capacities are based on trendlines established from the available data</t>
  </si>
  <si>
    <t>trendline average $/HP 50 HP to 500 HP enclosed VFD</t>
  </si>
  <si>
    <t>trendline average labor $/HP (enclosed) 50 HP to 500 HP</t>
  </si>
  <si>
    <t>average non-labor $/HP 50 HP to 500 HP</t>
  </si>
  <si>
    <t>15 HP to 50 HP</t>
  </si>
  <si>
    <t>trendline average $/HP 15 HP to 50 HP enclosed VFD</t>
  </si>
  <si>
    <t>trendline average labor $/HP (enclosed) 15 HP to 50 HP</t>
  </si>
  <si>
    <t>average non-labor $/HP 15 HP to 50 HP</t>
  </si>
  <si>
    <t>Compressor Building Types</t>
  </si>
  <si>
    <t>Manufacturing - Light Industrial</t>
  </si>
  <si>
    <t>Industrial</t>
  </si>
  <si>
    <t>Retail - Single-Story Large</t>
  </si>
  <si>
    <t>Manufacturing - Bio/Tech</t>
  </si>
  <si>
    <t>Health/Medical - Hospital</t>
  </si>
  <si>
    <t>http://www.airbestpractices.com/system-assessments/compressor-controls/hospital-air-system-savings</t>
  </si>
  <si>
    <t>Transportation-Communication-Utilities</t>
  </si>
  <si>
    <t>http://www.airbestpractices.com/industries/power/boiler-soot-blowing-power-plants</t>
  </si>
  <si>
    <t>http://www.airbestpractices.com/industries/power/instrument-air-nuclear-power-plants</t>
  </si>
  <si>
    <t xml:space="preserve">coal power plants </t>
  </si>
  <si>
    <t>nuclear power plants</t>
  </si>
  <si>
    <t>http://www.airbestpractices.com/industries/wastewater/compressed-air-wastewater-treatment</t>
  </si>
  <si>
    <t>wastewater treatment</t>
  </si>
  <si>
    <t>Health/Medical - Clinic</t>
  </si>
  <si>
    <t>http://www.quincycompressor.com/medical.html</t>
  </si>
  <si>
    <t>Agriculture</t>
  </si>
  <si>
    <t>http://www.quincycompressor.com/agriculture.html</t>
  </si>
  <si>
    <t>Tire Centers</t>
  </si>
  <si>
    <t>Reference</t>
  </si>
  <si>
    <t>References Mentioning Building Types as Compressor Markets</t>
  </si>
  <si>
    <t>Misc Commercial</t>
  </si>
  <si>
    <t>Hospitals</t>
  </si>
  <si>
    <t>Medical Centers</t>
  </si>
  <si>
    <t>Description</t>
  </si>
  <si>
    <t>"catch-all" for for customers not fitting other building types</t>
  </si>
  <si>
    <t>4LRR9</t>
  </si>
  <si>
    <t>No Bypass</t>
  </si>
  <si>
    <t>NEMA 1</t>
  </si>
  <si>
    <t>480VAC</t>
  </si>
  <si>
    <t>4LRR8</t>
  </si>
  <si>
    <t>4LRR7</t>
  </si>
  <si>
    <t>40HY97</t>
  </si>
  <si>
    <t>4LRR6</t>
  </si>
  <si>
    <t>4LRR5</t>
  </si>
  <si>
    <t>32WP02</t>
  </si>
  <si>
    <t>32WP51</t>
  </si>
  <si>
    <t>40HZ07</t>
  </si>
  <si>
    <t>4LRR4</t>
  </si>
  <si>
    <t>32WP01</t>
  </si>
  <si>
    <t>40HZ09</t>
  </si>
  <si>
    <t>32WP50</t>
  </si>
  <si>
    <t>4LRR3</t>
  </si>
  <si>
    <t>40HZ23</t>
  </si>
  <si>
    <t>32WN99</t>
  </si>
  <si>
    <t>32WP49</t>
  </si>
  <si>
    <t>32WP48</t>
  </si>
  <si>
    <t>4LRR2</t>
  </si>
  <si>
    <t>40HY92</t>
  </si>
  <si>
    <t>32WN98</t>
  </si>
  <si>
    <t>4LRR1</t>
  </si>
  <si>
    <t>32WP47</t>
  </si>
  <si>
    <t>40HZ04</t>
  </si>
  <si>
    <t>32WN97</t>
  </si>
  <si>
    <t>40HZ01</t>
  </si>
  <si>
    <t>32WN96</t>
  </si>
  <si>
    <t>4LRP9</t>
  </si>
  <si>
    <t>32WP46</t>
  </si>
  <si>
    <t>4LRP8</t>
  </si>
  <si>
    <t>40HZ02</t>
  </si>
  <si>
    <t>32WN95</t>
  </si>
  <si>
    <t>32WP45</t>
  </si>
  <si>
    <t>40HZ33</t>
  </si>
  <si>
    <t>4LRP7</t>
  </si>
  <si>
    <t>32WN94</t>
  </si>
  <si>
    <t>32WP44</t>
  </si>
  <si>
    <t>4LRP6</t>
  </si>
  <si>
    <t>32WN93</t>
  </si>
  <si>
    <t>32WP43</t>
  </si>
  <si>
    <t>40HY95</t>
  </si>
  <si>
    <t>40HZ21</t>
  </si>
  <si>
    <t>32WP42</t>
  </si>
  <si>
    <t>4LRP5</t>
  </si>
  <si>
    <t>32WN92</t>
  </si>
  <si>
    <t>40HZ22</t>
  </si>
  <si>
    <t>32WN91</t>
  </si>
  <si>
    <t>32WP41</t>
  </si>
  <si>
    <t>40HY76</t>
  </si>
  <si>
    <t>32WN90</t>
  </si>
  <si>
    <t>4LRP4</t>
  </si>
  <si>
    <t>32WP40</t>
  </si>
  <si>
    <t>4LRP3</t>
  </si>
  <si>
    <t>40HY75</t>
  </si>
  <si>
    <t>32WN89</t>
  </si>
  <si>
    <t>32WP39</t>
  </si>
  <si>
    <t>32WP38</t>
  </si>
  <si>
    <t>40HZ18</t>
  </si>
  <si>
    <t>4LRP2</t>
  </si>
  <si>
    <t>32WN88</t>
  </si>
  <si>
    <t>Price</t>
  </si>
  <si>
    <t>Item #</t>
  </si>
  <si>
    <t>With Bypass / No...</t>
  </si>
  <si>
    <t>Enclosure</t>
  </si>
  <si>
    <t>Output Voltage</t>
  </si>
  <si>
    <t>Max. Output Amps</t>
  </si>
  <si>
    <t>Max. HP </t>
  </si>
  <si>
    <t>5 HP to 10 HP</t>
  </si>
  <si>
    <t>15 HP to 20 HP</t>
  </si>
  <si>
    <t>Avg Cost</t>
  </si>
  <si>
    <t>Distributor $</t>
  </si>
  <si>
    <t>Size</t>
  </si>
  <si>
    <t>Row Labels</t>
  </si>
  <si>
    <t>Average of Price</t>
  </si>
  <si>
    <t>Average of $/HP</t>
  </si>
  <si>
    <t>Avg Cost/HP</t>
  </si>
  <si>
    <t>15 to 20 HP</t>
  </si>
  <si>
    <t>trendline average $/HP 15 HP to 20 HP enclosed VFD</t>
  </si>
  <si>
    <t>trendline average $/HP 5 HP to 10 HP enclosed VFD</t>
  </si>
  <si>
    <t>trendline average labor $/HP (enclosed) 5 HP to 10 HP</t>
  </si>
  <si>
    <t>average non-labor $/HP 5 HP to 10 HP</t>
  </si>
  <si>
    <t>trendline average labor $/HP (enclosed) 15 HP to 20 HP</t>
  </si>
  <si>
    <t>average non-labor $/HP 15 HP to 20 HP</t>
  </si>
  <si>
    <t>NA</t>
  </si>
  <si>
    <t>L/UL</t>
  </si>
  <si>
    <t>VFD CF</t>
  </si>
  <si>
    <t>Boge</t>
  </si>
  <si>
    <t>http://oemaircompressor.com/bogecandcfvsdseriesrotaryscrewcompressors.aspx</t>
  </si>
  <si>
    <t>Sullivan</t>
  </si>
  <si>
    <t>http://oemaircompressor.com/sullivanpalatekrotaryscrewvariablefrequencydrivevfd15-300hpaircompressors.aspx</t>
  </si>
  <si>
    <t>L/ul has 53 gallon tank</t>
  </si>
  <si>
    <t>Atlas Copco</t>
  </si>
  <si>
    <t>http://oemaircompressor.com/ga71115vsdoilinjectedscrewcompressors.aspx</t>
  </si>
  <si>
    <t>IR</t>
  </si>
  <si>
    <t>http://oemaircompressor.com/ingersollrandnirvanavariablefrequencyrotarycompressors.aspx</t>
  </si>
  <si>
    <t>Data</t>
  </si>
  <si>
    <t>Total</t>
  </si>
  <si>
    <t>labor/Unit ($)</t>
  </si>
  <si>
    <t>Cost/Unit ($)</t>
  </si>
  <si>
    <t>Labor ($)</t>
  </si>
  <si>
    <t>Incremental Cost ($)</t>
  </si>
  <si>
    <t>Regression Based Incremental Costs</t>
  </si>
  <si>
    <t xml:space="preserve"> Incremental</t>
  </si>
  <si>
    <t>Baseline</t>
  </si>
  <si>
    <t>Measure</t>
  </si>
  <si>
    <t>5-10 HP Costs</t>
  </si>
  <si>
    <t>15-20 HP</t>
  </si>
  <si>
    <t>5-10 HP</t>
  </si>
  <si>
    <t>PR-18656</t>
  </si>
  <si>
    <t>PR-18655</t>
  </si>
  <si>
    <t>Incremental Total ($)</t>
  </si>
  <si>
    <t>Measure Total ($)</t>
  </si>
  <si>
    <t>Base Case Total ($)</t>
  </si>
  <si>
    <t>Incremental cost/unit ($)</t>
  </si>
  <si>
    <t>Baseline/unit ($)</t>
  </si>
  <si>
    <t>Measure/unit ($)</t>
  </si>
  <si>
    <t>Rated Motor Power (HP)</t>
  </si>
  <si>
    <t>5 HP - 10 HP</t>
  </si>
  <si>
    <t>15 HP - 20 HP</t>
  </si>
  <si>
    <t>Range</t>
  </si>
  <si>
    <t>kW</t>
  </si>
  <si>
    <t>kWh/yr</t>
  </si>
  <si>
    <t>Installation Type</t>
  </si>
  <si>
    <t>Incremental Measure Cost</t>
  </si>
  <si>
    <t>Full Measure Cost</t>
  </si>
  <si>
    <r>
      <t>1</t>
    </r>
    <r>
      <rPr>
        <b/>
        <vertAlign val="superscript"/>
        <sz val="10"/>
        <color theme="1"/>
        <rFont val="Calibri"/>
        <family val="2"/>
        <scheme val="minor"/>
      </rPr>
      <t>st</t>
    </r>
    <r>
      <rPr>
        <b/>
        <sz val="10"/>
        <color theme="1"/>
        <rFont val="Calibri"/>
        <family val="2"/>
        <scheme val="minor"/>
      </rPr>
      <t xml:space="preserve"> Baseline</t>
    </r>
  </si>
  <si>
    <r>
      <t>2</t>
    </r>
    <r>
      <rPr>
        <b/>
        <vertAlign val="superscript"/>
        <sz val="10"/>
        <color theme="1"/>
        <rFont val="Calibri"/>
        <family val="2"/>
        <scheme val="minor"/>
      </rPr>
      <t>nd</t>
    </r>
    <r>
      <rPr>
        <b/>
        <sz val="10"/>
        <color theme="1"/>
        <rFont val="Calibri"/>
        <family val="2"/>
        <scheme val="minor"/>
      </rPr>
      <t xml:space="preserve"> Baseline</t>
    </r>
  </si>
  <si>
    <t>N/A</t>
  </si>
  <si>
    <t>ROB</t>
  </si>
  <si>
    <t>(MEC + MLC) – (BEC + BLC)</t>
  </si>
  <si>
    <t>NEW/NC</t>
  </si>
  <si>
    <t>t</t>
  </si>
  <si>
    <t>Cost Data  from RS Means 2018 Electrical Cost Data</t>
  </si>
  <si>
    <t>32WP74</t>
  </si>
  <si>
    <t>32WP75</t>
  </si>
  <si>
    <t>32WP76</t>
  </si>
  <si>
    <t>32WP77</t>
  </si>
  <si>
    <t>32WP78</t>
  </si>
  <si>
    <t>32WP79</t>
  </si>
  <si>
    <t>32WP80</t>
  </si>
  <si>
    <t>32WP81</t>
  </si>
  <si>
    <t>32WP82</t>
  </si>
  <si>
    <t>32WP83</t>
  </si>
  <si>
    <t>32WP84</t>
  </si>
  <si>
    <t>32WP85</t>
  </si>
  <si>
    <t>Material</t>
  </si>
  <si>
    <t>Labor</t>
  </si>
  <si>
    <t>PR-50059</t>
  </si>
  <si>
    <t>PR-34445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</si>
</sst>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#,##0.00000"/>
    <numFmt numFmtId="167" formatCode="0.00000"/>
    <numFmt numFmtId="168" formatCode="_(* #,##0.00000_);_(* \(#,##0.000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1"/>
      <color rgb="FF19792F"/>
      <name val="Inherit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4" fontId="0" fillId="0" borderId="0" xfId="1" applyFont="1"/>
    <xf numFmtId="1" fontId="0" fillId="0" borderId="0" xfId="0" applyNumberFormat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2" fontId="0" fillId="0" borderId="0" xfId="0" applyNumberFormat="1"/>
    <xf numFmtId="0" fontId="2" fillId="0" borderId="0" xfId="0" applyFont="1"/>
    <xf numFmtId="3" fontId="0" fillId="0" borderId="0" xfId="0" applyNumberFormat="1"/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/>
    <xf numFmtId="3" fontId="0" fillId="0" borderId="0" xfId="0" applyNumberFormat="1" applyFont="1"/>
    <xf numFmtId="165" fontId="0" fillId="0" borderId="0" xfId="0" applyNumberFormat="1"/>
    <xf numFmtId="165" fontId="0" fillId="0" borderId="0" xfId="0" applyNumberFormat="1" applyFont="1"/>
    <xf numFmtId="4" fontId="0" fillId="0" borderId="0" xfId="0" applyNumberFormat="1"/>
    <xf numFmtId="166" fontId="0" fillId="0" borderId="0" xfId="0" applyNumberFormat="1"/>
    <xf numFmtId="0" fontId="0" fillId="0" borderId="7" xfId="0" applyBorder="1"/>
    <xf numFmtId="0" fontId="0" fillId="0" borderId="0" xfId="0" applyBorder="1"/>
    <xf numFmtId="0" fontId="0" fillId="0" borderId="8" xfId="0" applyBorder="1"/>
    <xf numFmtId="44" fontId="0" fillId="0" borderId="9" xfId="1" applyFont="1" applyBorder="1"/>
    <xf numFmtId="44" fontId="0" fillId="0" borderId="10" xfId="1" applyFont="1" applyBorder="1"/>
    <xf numFmtId="44" fontId="0" fillId="0" borderId="11" xfId="1" applyFont="1" applyBorder="1"/>
    <xf numFmtId="0" fontId="1" fillId="0" borderId="0" xfId="2"/>
    <xf numFmtId="0" fontId="3" fillId="0" borderId="0" xfId="0" applyFont="1"/>
    <xf numFmtId="0" fontId="0" fillId="2" borderId="0" xfId="0" applyFill="1" applyAlignment="1">
      <alignment wrapText="1"/>
    </xf>
    <xf numFmtId="0" fontId="0" fillId="0" borderId="0" xfId="0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0" applyNumberFormat="1" applyAlignment="1">
      <alignment wrapText="1"/>
    </xf>
    <xf numFmtId="164" fontId="0" fillId="0" borderId="3" xfId="0" applyNumberFormat="1" applyBorder="1"/>
    <xf numFmtId="164" fontId="0" fillId="0" borderId="5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4" fontId="0" fillId="0" borderId="1" xfId="0" applyNumberFormat="1" applyBorder="1" applyAlignment="1">
      <alignment wrapText="1"/>
    </xf>
    <xf numFmtId="165" fontId="0" fillId="0" borderId="2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5" fontId="0" fillId="0" borderId="4" xfId="0" applyNumberForma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2" applyFont="1"/>
    <xf numFmtId="0" fontId="2" fillId="0" borderId="0" xfId="0" applyFont="1" applyBorder="1" applyAlignment="1">
      <alignment horizontal="center"/>
    </xf>
    <xf numFmtId="4" fontId="0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4" fontId="2" fillId="0" borderId="0" xfId="0" applyNumberFormat="1" applyFont="1" applyBorder="1"/>
    <xf numFmtId="0" fontId="0" fillId="0" borderId="0" xfId="0" applyBorder="1" applyAlignment="1">
      <alignment horizontal="left"/>
    </xf>
    <xf numFmtId="166" fontId="0" fillId="0" borderId="0" xfId="0" applyNumberFormat="1" applyFont="1" applyBorder="1"/>
    <xf numFmtId="0" fontId="4" fillId="0" borderId="0" xfId="3"/>
    <xf numFmtId="0" fontId="0" fillId="0" borderId="0" xfId="0" pivotButton="1"/>
    <xf numFmtId="0" fontId="0" fillId="0" borderId="12" xfId="0" applyBorder="1"/>
    <xf numFmtId="44" fontId="0" fillId="0" borderId="12" xfId="1" applyFont="1" applyBorder="1"/>
    <xf numFmtId="44" fontId="0" fillId="0" borderId="12" xfId="0" applyNumberFormat="1" applyBorder="1"/>
    <xf numFmtId="44" fontId="0" fillId="0" borderId="13" xfId="1" applyFont="1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44" fontId="0" fillId="0" borderId="0" xfId="1" applyFont="1" applyBorder="1"/>
    <xf numFmtId="0" fontId="0" fillId="0" borderId="12" xfId="0" applyFill="1" applyBorder="1"/>
    <xf numFmtId="0" fontId="0" fillId="0" borderId="0" xfId="0" applyFill="1" applyBorder="1"/>
    <xf numFmtId="0" fontId="0" fillId="0" borderId="16" xfId="0" applyBorder="1" applyAlignment="1">
      <alignment horizontal="center" vertical="center" wrapText="1"/>
    </xf>
    <xf numFmtId="44" fontId="0" fillId="0" borderId="17" xfId="1" applyFont="1" applyBorder="1"/>
    <xf numFmtId="44" fontId="0" fillId="0" borderId="16" xfId="1" applyFont="1" applyBorder="1"/>
    <xf numFmtId="167" fontId="2" fillId="0" borderId="12" xfId="0" applyNumberFormat="1" applyFont="1" applyBorder="1" applyAlignment="1">
      <alignment horizontal="left"/>
    </xf>
    <xf numFmtId="168" fontId="2" fillId="0" borderId="0" xfId="4" applyNumberFormat="1" applyFont="1" applyAlignment="1">
      <alignment horizontal="center"/>
    </xf>
    <xf numFmtId="0" fontId="8" fillId="4" borderId="6" xfId="0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166" fontId="2" fillId="0" borderId="0" xfId="0" applyNumberFormat="1" applyFont="1" applyBorder="1"/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4" fontId="2" fillId="0" borderId="24" xfId="0" applyNumberFormat="1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167" fontId="2" fillId="0" borderId="26" xfId="0" applyNumberFormat="1" applyFont="1" applyBorder="1" applyAlignment="1">
      <alignment horizontal="left"/>
    </xf>
    <xf numFmtId="4" fontId="2" fillId="0" borderId="27" xfId="0" applyNumberFormat="1" applyFont="1" applyBorder="1" applyAlignment="1">
      <alignment horizontal="left"/>
    </xf>
    <xf numFmtId="167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vertical="center"/>
    </xf>
    <xf numFmtId="44" fontId="0" fillId="2" borderId="12" xfId="0" applyNumberFormat="1" applyFill="1" applyBorder="1"/>
    <xf numFmtId="44" fontId="0" fillId="2" borderId="0" xfId="0" applyNumberFormat="1" applyFill="1"/>
    <xf numFmtId="0" fontId="2" fillId="2" borderId="12" xfId="0" applyFont="1" applyFill="1" applyBorder="1"/>
    <xf numFmtId="44" fontId="0" fillId="2" borderId="12" xfId="1" applyFont="1" applyFill="1" applyBorder="1"/>
    <xf numFmtId="0" fontId="0" fillId="2" borderId="12" xfId="0" applyFill="1" applyBorder="1" applyAlignment="1"/>
    <xf numFmtId="0" fontId="0" fillId="2" borderId="12" xfId="0" applyFill="1" applyBorder="1"/>
    <xf numFmtId="0" fontId="2" fillId="0" borderId="12" xfId="0" applyFont="1" applyFill="1" applyBorder="1"/>
    <xf numFmtId="44" fontId="0" fillId="0" borderId="12" xfId="1" applyFont="1" applyFill="1" applyBorder="1"/>
    <xf numFmtId="44" fontId="0" fillId="0" borderId="12" xfId="0" applyNumberFormat="1" applyFill="1" applyBorder="1"/>
    <xf numFmtId="0" fontId="0" fillId="2" borderId="29" xfId="0" applyFill="1" applyBorder="1" applyAlignment="1"/>
    <xf numFmtId="44" fontId="2" fillId="2" borderId="12" xfId="1" applyFont="1" applyFill="1" applyBorder="1"/>
    <xf numFmtId="0" fontId="3" fillId="0" borderId="0" xfId="2" applyFont="1" applyAlignment="1">
      <alignment horizontal="left"/>
    </xf>
    <xf numFmtId="0" fontId="0" fillId="0" borderId="0" xfId="0" applyAlignment="1">
      <alignment horizontal="left"/>
    </xf>
    <xf numFmtId="0" fontId="0" fillId="0" borderId="0" xfId="2" applyFont="1" applyAlignment="1">
      <alignment horizontal="left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vertical="center" wrapText="1"/>
    </xf>
    <xf numFmtId="0" fontId="8" fillId="3" borderId="18" xfId="0" applyFont="1" applyFill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5">
    <cellStyle name="Comma" xfId="4" builtinId="3"/>
    <cellStyle name="Currency" xfId="1" builtinId="4"/>
    <cellStyle name="Hyperlink" xfId="3" builtinId="8"/>
    <cellStyle name="Normal" xfId="0" builtinId="0"/>
    <cellStyle name="Normal 28" xfId="2"/>
  </cellStyles>
  <dxfs count="1"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91396869255974E-2"/>
          <c:y val="8.5368533512913833E-2"/>
          <c:w val="0.66335222895390489"/>
          <c:h val="0.810740507436570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'VFD Costs 2018 RS Means REA'!$E$5</c:f>
              <c:strCache>
                <c:ptCount val="1"/>
                <c:pt idx="0">
                  <c:v>enclosed $/HP</c:v>
                </c:pt>
              </c:strCache>
            </c:strRef>
          </c:tx>
          <c:marker>
            <c:symbol val="square"/>
            <c:size val="4"/>
          </c:marker>
          <c:trendline>
            <c:spPr>
              <a:ln w="25400">
                <a:solidFill>
                  <a:srgbClr val="002060"/>
                </a:solidFill>
              </a:ln>
            </c:spPr>
            <c:trendlineType val="power"/>
            <c:forward val="600"/>
            <c:dispRSqr val="1"/>
            <c:dispEq val="1"/>
            <c:trendlineLbl>
              <c:layout>
                <c:manualLayout>
                  <c:x val="-0.10839214781418913"/>
                  <c:y val="-0.13542188943105413"/>
                </c:manualLayout>
              </c:layout>
              <c:numFmt formatCode="#,##0.0000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xVal>
            <c:numRef>
              <c:f>'VFD Costs 2018 RS Means REA'!$B$6:$B$21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75</c:v>
                </c:pt>
                <c:pt idx="12">
                  <c:v>100</c:v>
                </c:pt>
                <c:pt idx="13">
                  <c:v>125</c:v>
                </c:pt>
                <c:pt idx="14">
                  <c:v>150</c:v>
                </c:pt>
                <c:pt idx="15">
                  <c:v>200</c:v>
                </c:pt>
              </c:numCache>
            </c:numRef>
          </c:xVal>
          <c:yVal>
            <c:numRef>
              <c:f>'VFD Costs 2018 RS Means REA'!$E$6:$E$21</c:f>
              <c:numCache>
                <c:formatCode>0</c:formatCode>
                <c:ptCount val="16"/>
                <c:pt idx="0">
                  <c:v>580</c:v>
                </c:pt>
                <c:pt idx="1">
                  <c:v>445</c:v>
                </c:pt>
                <c:pt idx="2">
                  <c:v>360</c:v>
                </c:pt>
                <c:pt idx="3">
                  <c:v>297.5</c:v>
                </c:pt>
                <c:pt idx="4">
                  <c:v>255</c:v>
                </c:pt>
                <c:pt idx="5">
                  <c:v>226.25</c:v>
                </c:pt>
                <c:pt idx="6">
                  <c:v>222</c:v>
                </c:pt>
                <c:pt idx="7">
                  <c:v>231.66666666666666</c:v>
                </c:pt>
                <c:pt idx="8">
                  <c:v>200.625</c:v>
                </c:pt>
                <c:pt idx="9">
                  <c:v>206</c:v>
                </c:pt>
                <c:pt idx="10">
                  <c:v>206.66666666666666</c:v>
                </c:pt>
                <c:pt idx="11">
                  <c:v>192</c:v>
                </c:pt>
                <c:pt idx="12">
                  <c:v>185</c:v>
                </c:pt>
                <c:pt idx="13">
                  <c:v>160.80000000000001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A57-44FB-8E88-E70E8CBEBD25}"/>
            </c:ext>
          </c:extLst>
        </c:ser>
        <c:ser>
          <c:idx val="4"/>
          <c:order val="1"/>
          <c:tx>
            <c:strRef>
              <c:f>'VFD Costs 2018 RS Means REA'!$F$5</c:f>
              <c:strCache>
                <c:ptCount val="1"/>
                <c:pt idx="0">
                  <c:v>labor $/HP
(enclosed)</c:v>
                </c:pt>
              </c:strCache>
            </c:strRef>
          </c:tx>
          <c:trendline>
            <c:trendlineType val="power"/>
            <c:dispRSqr val="1"/>
            <c:dispEq val="1"/>
            <c:trendlineLbl>
              <c:layout>
                <c:manualLayout>
                  <c:x val="3.749623668364984E-2"/>
                  <c:y val="-0.23333075365579303"/>
                </c:manualLayout>
              </c:layout>
              <c:numFmt formatCode="#,##0.0000" sourceLinked="0"/>
            </c:trendlineLbl>
          </c:trendline>
          <c:xVal>
            <c:numRef>
              <c:f>'VFD Costs 2018 RS Means REA'!$B$6:$B$21</c:f>
              <c:numCache>
                <c:formatCode>General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75</c:v>
                </c:pt>
                <c:pt idx="12">
                  <c:v>100</c:v>
                </c:pt>
                <c:pt idx="13">
                  <c:v>125</c:v>
                </c:pt>
                <c:pt idx="14">
                  <c:v>150</c:v>
                </c:pt>
                <c:pt idx="15">
                  <c:v>200</c:v>
                </c:pt>
              </c:numCache>
            </c:numRef>
          </c:xVal>
          <c:yVal>
            <c:numRef>
              <c:f>'VFD Costs 2018 RS Means REA'!$F$6:$F$21</c:f>
              <c:numCache>
                <c:formatCode>0</c:formatCode>
                <c:ptCount val="16"/>
                <c:pt idx="0">
                  <c:v>193.33333333333334</c:v>
                </c:pt>
                <c:pt idx="1">
                  <c:v>116</c:v>
                </c:pt>
                <c:pt idx="2">
                  <c:v>92.666666666666671</c:v>
                </c:pt>
                <c:pt idx="3">
                  <c:v>69.5</c:v>
                </c:pt>
                <c:pt idx="4">
                  <c:v>70</c:v>
                </c:pt>
                <c:pt idx="5">
                  <c:v>52.5</c:v>
                </c:pt>
                <c:pt idx="6">
                  <c:v>56</c:v>
                </c:pt>
                <c:pt idx="7">
                  <c:v>46.666666666666664</c:v>
                </c:pt>
                <c:pt idx="8">
                  <c:v>35</c:v>
                </c:pt>
                <c:pt idx="9">
                  <c:v>35</c:v>
                </c:pt>
                <c:pt idx="10">
                  <c:v>34.583333333333336</c:v>
                </c:pt>
                <c:pt idx="11">
                  <c:v>27.666666666666668</c:v>
                </c:pt>
                <c:pt idx="12">
                  <c:v>23.25</c:v>
                </c:pt>
                <c:pt idx="13">
                  <c:v>18.600000000000001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1A57-44FB-8E88-E70E8CBEBD25}"/>
            </c:ext>
          </c:extLst>
        </c:ser>
        <c:ser>
          <c:idx val="2"/>
          <c:order val="2"/>
          <c:tx>
            <c:strRef>
              <c:f>'VFD Costs 2018 RS Means REA'!$G$5</c:f>
              <c:strCache>
                <c:ptCount val="1"/>
                <c:pt idx="0">
                  <c:v>trendline
enclosed $/HP</c:v>
                </c:pt>
              </c:strCache>
            </c:strRef>
          </c:tx>
          <c:xVal>
            <c:numRef>
              <c:f>'VFD Costs 2018 RS Means REA'!$B$6:$B$34</c:f>
              <c:numCache>
                <c:formatCode>General</c:formatCode>
                <c:ptCount val="29"/>
                <c:pt idx="0">
                  <c:v>3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75</c:v>
                </c:pt>
                <c:pt idx="12">
                  <c:v>100</c:v>
                </c:pt>
                <c:pt idx="13">
                  <c:v>125</c:v>
                </c:pt>
                <c:pt idx="14">
                  <c:v>150</c:v>
                </c:pt>
                <c:pt idx="15">
                  <c:v>200</c:v>
                </c:pt>
                <c:pt idx="16">
                  <c:v>250</c:v>
                </c:pt>
                <c:pt idx="17">
                  <c:v>300</c:v>
                </c:pt>
                <c:pt idx="18">
                  <c:v>350</c:v>
                </c:pt>
                <c:pt idx="19">
                  <c:v>400</c:v>
                </c:pt>
                <c:pt idx="20">
                  <c:v>450</c:v>
                </c:pt>
                <c:pt idx="21">
                  <c:v>500</c:v>
                </c:pt>
                <c:pt idx="22">
                  <c:v>550</c:v>
                </c:pt>
                <c:pt idx="23">
                  <c:v>600</c:v>
                </c:pt>
                <c:pt idx="24">
                  <c:v>650</c:v>
                </c:pt>
                <c:pt idx="25">
                  <c:v>700</c:v>
                </c:pt>
                <c:pt idx="26">
                  <c:v>750</c:v>
                </c:pt>
                <c:pt idx="27">
                  <c:v>800</c:v>
                </c:pt>
                <c:pt idx="28">
                  <c:v>850</c:v>
                </c:pt>
              </c:numCache>
            </c:numRef>
          </c:xVal>
          <c:yVal>
            <c:numRef>
              <c:f>'VFD Costs 2018 RS Means REA'!$G$6:$G$34</c:f>
              <c:numCache>
                <c:formatCode>0.0</c:formatCode>
                <c:ptCount val="29"/>
                <c:pt idx="0">
                  <c:v>475.66967516557241</c:v>
                </c:pt>
                <c:pt idx="1">
                  <c:v>407.31462111118304</c:v>
                </c:pt>
                <c:pt idx="2">
                  <c:v>360.12318674596196</c:v>
                </c:pt>
                <c:pt idx="3">
                  <c:v>329.99487133145578</c:v>
                </c:pt>
                <c:pt idx="4">
                  <c:v>291.7616960312078</c:v>
                </c:pt>
                <c:pt idx="5">
                  <c:v>267.35258068562928</c:v>
                </c:pt>
                <c:pt idx="6">
                  <c:v>249.83472959957308</c:v>
                </c:pt>
                <c:pt idx="7">
                  <c:v>236.37713539132838</c:v>
                </c:pt>
                <c:pt idx="8">
                  <c:v>216.60155538439284</c:v>
                </c:pt>
                <c:pt idx="9">
                  <c:v>202.40908421953193</c:v>
                </c:pt>
                <c:pt idx="10">
                  <c:v>191.50611919199261</c:v>
                </c:pt>
                <c:pt idx="11">
                  <c:v>178.95798642487853</c:v>
                </c:pt>
                <c:pt idx="12">
                  <c:v>163.98615773016834</c:v>
                </c:pt>
                <c:pt idx="13">
                  <c:v>153.24122650891525</c:v>
                </c:pt>
                <c:pt idx="14">
                  <c:v>144.98673664821413</c:v>
                </c:pt>
                <c:pt idx="15">
                  <c:v>132.85698134940091</c:v>
                </c:pt>
                <c:pt idx="16">
                  <c:v>124.15173972033872</c:v>
                </c:pt>
                <c:pt idx="17">
                  <c:v>117.46418376652151</c:v>
                </c:pt>
                <c:pt idx="18">
                  <c:v>112.09176953537234</c:v>
                </c:pt>
                <c:pt idx="19">
                  <c:v>107.63699654649464</c:v>
                </c:pt>
                <c:pt idx="20">
                  <c:v>103.85479428926791</c:v>
                </c:pt>
                <c:pt idx="21">
                  <c:v>100.58425416407114</c:v>
                </c:pt>
                <c:pt idx="22">
                  <c:v>97.714506157727186</c:v>
                </c:pt>
                <c:pt idx="23">
                  <c:v>95.166184072500769</c:v>
                </c:pt>
                <c:pt idx="24">
                  <c:v>92.880683753774818</c:v>
                </c:pt>
                <c:pt idx="25">
                  <c:v>90.813604884179838</c:v>
                </c:pt>
                <c:pt idx="26">
                  <c:v>88.930571770816741</c:v>
                </c:pt>
                <c:pt idx="27">
                  <c:v>87.20447286906797</c:v>
                </c:pt>
                <c:pt idx="28">
                  <c:v>85.613580933108594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A57-44FB-8E88-E70E8CBEBD25}"/>
            </c:ext>
          </c:extLst>
        </c:ser>
        <c:ser>
          <c:idx val="5"/>
          <c:order val="3"/>
          <c:tx>
            <c:strRef>
              <c:f>'VFD Costs 2018 RS Means REA'!$H$5</c:f>
              <c:strCache>
                <c:ptCount val="1"/>
                <c:pt idx="0">
                  <c:v>trendline
labor $/HP
(enclosed)</c:v>
                </c:pt>
              </c:strCache>
            </c:strRef>
          </c:tx>
          <c:xVal>
            <c:numRef>
              <c:f>'VFD Costs 2018 RS Means REA'!$B$6:$B$34</c:f>
              <c:numCache>
                <c:formatCode>General</c:formatCode>
                <c:ptCount val="29"/>
                <c:pt idx="0">
                  <c:v>3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75</c:v>
                </c:pt>
                <c:pt idx="12">
                  <c:v>100</c:v>
                </c:pt>
                <c:pt idx="13">
                  <c:v>125</c:v>
                </c:pt>
                <c:pt idx="14">
                  <c:v>150</c:v>
                </c:pt>
                <c:pt idx="15">
                  <c:v>200</c:v>
                </c:pt>
                <c:pt idx="16">
                  <c:v>250</c:v>
                </c:pt>
                <c:pt idx="17">
                  <c:v>300</c:v>
                </c:pt>
                <c:pt idx="18">
                  <c:v>350</c:v>
                </c:pt>
                <c:pt idx="19">
                  <c:v>400</c:v>
                </c:pt>
                <c:pt idx="20">
                  <c:v>450</c:v>
                </c:pt>
                <c:pt idx="21">
                  <c:v>500</c:v>
                </c:pt>
                <c:pt idx="22">
                  <c:v>550</c:v>
                </c:pt>
                <c:pt idx="23">
                  <c:v>600</c:v>
                </c:pt>
                <c:pt idx="24">
                  <c:v>650</c:v>
                </c:pt>
                <c:pt idx="25">
                  <c:v>700</c:v>
                </c:pt>
                <c:pt idx="26">
                  <c:v>750</c:v>
                </c:pt>
                <c:pt idx="27">
                  <c:v>800</c:v>
                </c:pt>
                <c:pt idx="28">
                  <c:v>850</c:v>
                </c:pt>
              </c:numCache>
            </c:numRef>
          </c:xVal>
          <c:yVal>
            <c:numRef>
              <c:f>'VFD Costs 2018 RS Means REA'!$H$6:$H$34</c:f>
              <c:numCache>
                <c:formatCode>0.0</c:formatCode>
                <c:ptCount val="29"/>
                <c:pt idx="0">
                  <c:v>164.5388953844712</c:v>
                </c:pt>
                <c:pt idx="1">
                  <c:v>123.47169076828821</c:v>
                </c:pt>
                <c:pt idx="2">
                  <c:v>98.307465266364019</c:v>
                </c:pt>
                <c:pt idx="3">
                  <c:v>83.629294806179672</c:v>
                </c:pt>
                <c:pt idx="4">
                  <c:v>66.585173842298758</c:v>
                </c:pt>
                <c:pt idx="5">
                  <c:v>56.643420902884216</c:v>
                </c:pt>
                <c:pt idx="6">
                  <c:v>49.966203888742903</c:v>
                </c:pt>
                <c:pt idx="7">
                  <c:v>45.099172922385392</c:v>
                </c:pt>
                <c:pt idx="8">
                  <c:v>38.365469169832267</c:v>
                </c:pt>
                <c:pt idx="9">
                  <c:v>33.842886327677789</c:v>
                </c:pt>
                <c:pt idx="10">
                  <c:v>30.546370624493992</c:v>
                </c:pt>
                <c:pt idx="11">
                  <c:v>26.945515619570521</c:v>
                </c:pt>
                <c:pt idx="12">
                  <c:v>22.922312800435879</c:v>
                </c:pt>
                <c:pt idx="13">
                  <c:v>20.220193920699462</c:v>
                </c:pt>
                <c:pt idx="14">
                  <c:v>18.250616440350406</c:v>
                </c:pt>
                <c:pt idx="15">
                  <c:v>15.525638653678049</c:v>
                </c:pt>
                <c:pt idx="16">
                  <c:v>13.695451547721136</c:v>
                </c:pt>
                <c:pt idx="17">
                  <c:v>12.361426114661873</c:v>
                </c:pt>
                <c:pt idx="18">
                  <c:v>11.335424455277918</c:v>
                </c:pt>
                <c:pt idx="19">
                  <c:v>10.515756315828581</c:v>
                </c:pt>
                <c:pt idx="20">
                  <c:v>9.8420978999176203</c:v>
                </c:pt>
                <c:pt idx="21">
                  <c:v>9.2761421493572342</c:v>
                </c:pt>
                <c:pt idx="22">
                  <c:v>8.7922609023437328</c:v>
                </c:pt>
                <c:pt idx="23">
                  <c:v>8.3725859938849698</c:v>
                </c:pt>
                <c:pt idx="24">
                  <c:v>8.0042351123185629</c:v>
                </c:pt>
                <c:pt idx="25">
                  <c:v>7.677659126759834</c:v>
                </c:pt>
                <c:pt idx="26">
                  <c:v>7.3856121713367067</c:v>
                </c:pt>
                <c:pt idx="27">
                  <c:v>7.1224851589401013</c:v>
                </c:pt>
                <c:pt idx="28">
                  <c:v>6.8838604312649938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1A57-44FB-8E88-E70E8CBEB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70112"/>
        <c:axId val="79371648"/>
      </c:scatterChart>
      <c:valAx>
        <c:axId val="7937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9371648"/>
        <c:crosses val="autoZero"/>
        <c:crossBetween val="midCat"/>
      </c:valAx>
      <c:valAx>
        <c:axId val="7937164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79370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771828447898631"/>
          <c:y val="4.1828391451068619E-2"/>
          <c:w val="0.15058583999482283"/>
          <c:h val="0.79192809227567584"/>
        </c:manualLayout>
      </c:layout>
      <c:overlay val="0"/>
      <c:spPr>
        <a:solidFill>
          <a:schemeClr val="bg1"/>
        </a:solidFill>
        <a:effectLst>
          <a:outerShdw blurRad="50800" dist="50800" dir="5400000" algn="ctr" rotWithShape="0">
            <a:srgbClr val="000000"/>
          </a:outerShdw>
        </a:effectLst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Demand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(5 HP - 50 HP)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tx>
            <c:v>5 HP - 15 HP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Results'!$J$7:$M$7</c:f>
              <c:numCache>
                <c:formatCode>General</c:formatCode>
                <c:ptCount val="4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'AM+ Results'!$J$23:$M$23</c:f>
              <c:numCache>
                <c:formatCode>0.000</c:formatCode>
                <c:ptCount val="4"/>
                <c:pt idx="0">
                  <c:v>0.17049999999999998</c:v>
                </c:pt>
                <c:pt idx="1">
                  <c:v>0.15880952380952384</c:v>
                </c:pt>
                <c:pt idx="2">
                  <c:v>0.14859523809523811</c:v>
                </c:pt>
                <c:pt idx="3">
                  <c:v>0.13262698412698426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10-42BE-8CC4-FAC4B05212F0}"/>
            </c:ext>
          </c:extLst>
        </c:ser>
        <c:ser>
          <c:idx val="1"/>
          <c:order val="1"/>
          <c:tx>
            <c:v>15 HP - 50 HP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Results'!$M$7:$P$7</c:f>
              <c:numCache>
                <c:formatCode>General</c:formatCode>
                <c:ptCount val="4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50</c:v>
                </c:pt>
              </c:numCache>
            </c:numRef>
          </c:xVal>
          <c:yVal>
            <c:numRef>
              <c:f>'AM+ Results'!$M$23:$P$23</c:f>
              <c:numCache>
                <c:formatCode>0.000</c:formatCode>
                <c:ptCount val="4"/>
                <c:pt idx="0">
                  <c:v>0.13262698412698426</c:v>
                </c:pt>
                <c:pt idx="1">
                  <c:v>0.13106547619047604</c:v>
                </c:pt>
                <c:pt idx="2">
                  <c:v>0.12914761904761918</c:v>
                </c:pt>
                <c:pt idx="3">
                  <c:v>0.11891428571428553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C10-42BE-8CC4-FAC4B0521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45120"/>
        <c:axId val="53047296"/>
      </c:scatterChart>
      <c:valAx>
        <c:axId val="5304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047296"/>
        <c:crosses val="autoZero"/>
        <c:crossBetween val="midCat"/>
      </c:valAx>
      <c:valAx>
        <c:axId val="53047296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kW/HP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3045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2194267545859836"/>
          <c:y val="0.60959201868747914"/>
          <c:w val="0.17030541128790366"/>
          <c:h val="0.15144693205679505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kWh/HP Savings</a:t>
            </a:r>
          </a:p>
          <a:p>
            <a:pPr>
              <a:defRPr/>
            </a:pPr>
            <a:r>
              <a:rPr lang="en-US"/>
              <a:t>vs. HP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'compressor calculations'!$B$15:$B$30</c:f>
              <c:numCache>
                <c:formatCode>General</c:formatCode>
                <c:ptCount val="16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50</c:v>
                </c:pt>
                <c:pt idx="7">
                  <c:v>75</c:v>
                </c:pt>
                <c:pt idx="8">
                  <c:v>100</c:v>
                </c:pt>
                <c:pt idx="9">
                  <c:v>125</c:v>
                </c:pt>
                <c:pt idx="10">
                  <c:v>150</c:v>
                </c:pt>
                <c:pt idx="11">
                  <c:v>200</c:v>
                </c:pt>
                <c:pt idx="12">
                  <c:v>250</c:v>
                </c:pt>
                <c:pt idx="13">
                  <c:v>300</c:v>
                </c:pt>
                <c:pt idx="14">
                  <c:v>400</c:v>
                </c:pt>
                <c:pt idx="15">
                  <c:v>500</c:v>
                </c:pt>
              </c:numCache>
            </c:numRef>
          </c:xVal>
          <c:yVal>
            <c:numRef>
              <c:f>'compressor calculations'!$S$15:$S$30</c:f>
              <c:numCache>
                <c:formatCode>0.0</c:formatCode>
                <c:ptCount val="16"/>
                <c:pt idx="0">
                  <c:v>1432</c:v>
                </c:pt>
                <c:pt idx="1">
                  <c:v>1334</c:v>
                </c:pt>
                <c:pt idx="2">
                  <c:v>1248.2</c:v>
                </c:pt>
                <c:pt idx="3">
                  <c:v>1114.0666666666666</c:v>
                </c:pt>
                <c:pt idx="4">
                  <c:v>1100.95</c:v>
                </c:pt>
                <c:pt idx="5">
                  <c:v>1084.8399999999999</c:v>
                </c:pt>
                <c:pt idx="6">
                  <c:v>998.88</c:v>
                </c:pt>
                <c:pt idx="7">
                  <c:v>981.38666666666666</c:v>
                </c:pt>
                <c:pt idx="8">
                  <c:v>989.68</c:v>
                </c:pt>
                <c:pt idx="9">
                  <c:v>1004.984</c:v>
                </c:pt>
                <c:pt idx="10">
                  <c:v>997.71333333333337</c:v>
                </c:pt>
                <c:pt idx="11">
                  <c:v>980.43499999999995</c:v>
                </c:pt>
                <c:pt idx="12">
                  <c:v>950.36800000000005</c:v>
                </c:pt>
                <c:pt idx="13">
                  <c:v>952.4666666666667</c:v>
                </c:pt>
                <c:pt idx="14">
                  <c:v>951.79499999999996</c:v>
                </c:pt>
                <c:pt idx="15">
                  <c:v>954.16399999999999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0E8-4C22-8DF9-493CAD32D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7264"/>
        <c:axId val="51789184"/>
      </c:scatterChart>
      <c:valAx>
        <c:axId val="51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Compressor HP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1789184"/>
        <c:crosses val="autoZero"/>
        <c:crossBetween val="midCat"/>
      </c:valAx>
      <c:valAx>
        <c:axId val="517891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kWh/HP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51787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kW/HP Savings</a:t>
            </a:r>
          </a:p>
          <a:p>
            <a:pPr>
              <a:defRPr/>
            </a:pPr>
            <a:r>
              <a:rPr lang="en-US"/>
              <a:t>vs. HP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'compressor calculations'!$B$15:$B$30</c:f>
              <c:numCache>
                <c:formatCode>General</c:formatCode>
                <c:ptCount val="16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50</c:v>
                </c:pt>
                <c:pt idx="7">
                  <c:v>75</c:v>
                </c:pt>
                <c:pt idx="8">
                  <c:v>100</c:v>
                </c:pt>
                <c:pt idx="9">
                  <c:v>125</c:v>
                </c:pt>
                <c:pt idx="10">
                  <c:v>150</c:v>
                </c:pt>
                <c:pt idx="11">
                  <c:v>200</c:v>
                </c:pt>
                <c:pt idx="12">
                  <c:v>250</c:v>
                </c:pt>
                <c:pt idx="13">
                  <c:v>300</c:v>
                </c:pt>
                <c:pt idx="14">
                  <c:v>400</c:v>
                </c:pt>
                <c:pt idx="15">
                  <c:v>500</c:v>
                </c:pt>
              </c:numCache>
            </c:numRef>
          </c:xVal>
          <c:yVal>
            <c:numRef>
              <c:f>'compressor calculations'!$T$15:$T$30</c:f>
              <c:numCache>
                <c:formatCode>0.000</c:formatCode>
                <c:ptCount val="16"/>
                <c:pt idx="0">
                  <c:v>0.18</c:v>
                </c:pt>
                <c:pt idx="1">
                  <c:v>0.16</c:v>
                </c:pt>
                <c:pt idx="2">
                  <c:v>0.15</c:v>
                </c:pt>
                <c:pt idx="3">
                  <c:v>0.13333333333333333</c:v>
                </c:pt>
                <c:pt idx="4">
                  <c:v>0.13</c:v>
                </c:pt>
                <c:pt idx="5">
                  <c:v>0.128</c:v>
                </c:pt>
                <c:pt idx="6">
                  <c:v>0.11800000000000001</c:v>
                </c:pt>
                <c:pt idx="7">
                  <c:v>0.11733333333333335</c:v>
                </c:pt>
                <c:pt idx="8">
                  <c:v>0.11800000000000001</c:v>
                </c:pt>
                <c:pt idx="9">
                  <c:v>0.12</c:v>
                </c:pt>
                <c:pt idx="10">
                  <c:v>0.11866666666666667</c:v>
                </c:pt>
                <c:pt idx="11">
                  <c:v>0.11650000000000001</c:v>
                </c:pt>
                <c:pt idx="12">
                  <c:v>0.11320000000000001</c:v>
                </c:pt>
                <c:pt idx="13">
                  <c:v>0.11333333333333333</c:v>
                </c:pt>
                <c:pt idx="14">
                  <c:v>0.11324999999999999</c:v>
                </c:pt>
                <c:pt idx="15">
                  <c:v>0.11359999999999999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D8B-4F8D-A1D1-3E9F8EE01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67776"/>
        <c:axId val="53069696"/>
      </c:scatterChart>
      <c:valAx>
        <c:axId val="5306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Compressor HP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069696"/>
        <c:crosses val="autoZero"/>
        <c:crossBetween val="midCat"/>
      </c:valAx>
      <c:valAx>
        <c:axId val="5306969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kW/HP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3067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Installation</a:t>
            </a:r>
            <a:r>
              <a:rPr lang="en-US" baseline="0"/>
              <a:t> Labor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'Air Compressor Costs New-ROB'!$M$22:$M$26</c:f>
              <c:numCache>
                <c:formatCode>General</c:formatCode>
                <c:ptCount val="5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'Air Compressor Costs New-ROB'!$O$22:$O$26</c:f>
              <c:numCache>
                <c:formatCode>_("$"* #,##0.00_);_("$"* \(#,##0.00\);_("$"* "-"??_);_(@_)</c:formatCode>
                <c:ptCount val="5"/>
                <c:pt idx="0">
                  <c:v>905</c:v>
                </c:pt>
                <c:pt idx="1">
                  <c:v>1125</c:v>
                </c:pt>
                <c:pt idx="2">
                  <c:v>1300</c:v>
                </c:pt>
                <c:pt idx="3">
                  <c:v>1775</c:v>
                </c:pt>
                <c:pt idx="4">
                  <c:v>2025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352-4088-854D-25E6227AE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51968"/>
        <c:axId val="48453888"/>
      </c:scatterChart>
      <c:valAx>
        <c:axId val="4845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Motor Rating (HP)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3888"/>
        <c:crosses val="autoZero"/>
        <c:crossBetween val="midCat"/>
      </c:valAx>
      <c:valAx>
        <c:axId val="484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Installation Cost ($)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51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</a:t>
            </a:r>
            <a:r>
              <a:rPr lang="en-US" baseline="0"/>
              <a:t> Cost Regression Analysis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'Air Compressor Costs New-ROB'!$B$15:$B$22</c:f>
              <c:numCache>
                <c:formatCode>General</c:formatCode>
                <c:ptCount val="8"/>
                <c:pt idx="0">
                  <c:v>7.5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</c:numCache>
            </c:numRef>
          </c:xVal>
          <c:yVal>
            <c:numRef>
              <c:f>'Air Compressor Costs New-ROB'!$C$15:$C$22</c:f>
              <c:numCache>
                <c:formatCode>_("$"* #,##0.00_);_("$"* \(#,##0.00\);_("$"* "-"??_);_(@_)</c:formatCode>
                <c:ptCount val="8"/>
                <c:pt idx="0">
                  <c:v>7863</c:v>
                </c:pt>
                <c:pt idx="1">
                  <c:v>8600</c:v>
                </c:pt>
                <c:pt idx="2">
                  <c:v>8241</c:v>
                </c:pt>
                <c:pt idx="3">
                  <c:v>9154</c:v>
                </c:pt>
                <c:pt idx="4">
                  <c:v>12035</c:v>
                </c:pt>
                <c:pt idx="5">
                  <c:v>15000</c:v>
                </c:pt>
                <c:pt idx="6">
                  <c:v>14148</c:v>
                </c:pt>
                <c:pt idx="7">
                  <c:v>13920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7D3-4FDC-B5EF-8182F39AE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06272"/>
        <c:axId val="52024832"/>
      </c:scatterChart>
      <c:valAx>
        <c:axId val="5200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Motor Rating (HP)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24832"/>
        <c:crosses val="autoZero"/>
        <c:crossBetween val="midCat"/>
      </c:valAx>
      <c:valAx>
        <c:axId val="520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Cost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Baseline </a:t>
            </a:r>
            <a:r>
              <a:rPr lang="en-US" baseline="0"/>
              <a:t>Cost Regression Analysis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'Air Compressor Costs New-ROB'!$B$15:$B$22</c:f>
              <c:numCache>
                <c:formatCode>General</c:formatCode>
                <c:ptCount val="8"/>
                <c:pt idx="0">
                  <c:v>7.5</c:v>
                </c:pt>
                <c:pt idx="1">
                  <c:v>10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</c:numCache>
            </c:numRef>
          </c:xVal>
          <c:yVal>
            <c:numRef>
              <c:f>'Air Compressor Costs New-ROB'!$D$15:$D$22</c:f>
              <c:numCache>
                <c:formatCode>_("$"* #,##0.00_);_("$"* \(#,##0.00\);_("$"* "-"??_);_(@_)</c:formatCode>
                <c:ptCount val="8"/>
                <c:pt idx="0">
                  <c:v>5200</c:v>
                </c:pt>
                <c:pt idx="1">
                  <c:v>5000</c:v>
                </c:pt>
                <c:pt idx="2">
                  <c:v>6000</c:v>
                </c:pt>
                <c:pt idx="3">
                  <c:v>6450</c:v>
                </c:pt>
                <c:pt idx="4">
                  <c:v>7855</c:v>
                </c:pt>
                <c:pt idx="5">
                  <c:v>11360</c:v>
                </c:pt>
                <c:pt idx="6">
                  <c:v>8747</c:v>
                </c:pt>
                <c:pt idx="7">
                  <c:v>10338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CB-48E4-9510-FFEE170AC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37344"/>
        <c:axId val="51738880"/>
      </c:scatterChart>
      <c:valAx>
        <c:axId val="51737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Motor Rating (HP)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8880"/>
        <c:crosses val="autoZero"/>
        <c:crossBetween val="midCat"/>
      </c:valAx>
      <c:valAx>
        <c:axId val="5173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Cost ($)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Energy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(All)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'AM+ Results'!$J$7:$Y$7</c:f>
              <c:numCache>
                <c:formatCode>General</c:formatCode>
                <c:ptCount val="16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50</c:v>
                </c:pt>
                <c:pt idx="7">
                  <c:v>75</c:v>
                </c:pt>
                <c:pt idx="8">
                  <c:v>100</c:v>
                </c:pt>
                <c:pt idx="9">
                  <c:v>125</c:v>
                </c:pt>
                <c:pt idx="10">
                  <c:v>150</c:v>
                </c:pt>
                <c:pt idx="11">
                  <c:v>200</c:v>
                </c:pt>
                <c:pt idx="12">
                  <c:v>250</c:v>
                </c:pt>
                <c:pt idx="13">
                  <c:v>300</c:v>
                </c:pt>
                <c:pt idx="14">
                  <c:v>400</c:v>
                </c:pt>
                <c:pt idx="15">
                  <c:v>500</c:v>
                </c:pt>
              </c:numCache>
            </c:numRef>
          </c:xVal>
          <c:yVal>
            <c:numRef>
              <c:f>'AM+ Results'!$J$19:$Y$19</c:f>
              <c:numCache>
                <c:formatCode>#,##0</c:formatCode>
                <c:ptCount val="16"/>
                <c:pt idx="0">
                  <c:v>497.8599999999999</c:v>
                </c:pt>
                <c:pt idx="1">
                  <c:v>463.72380952380968</c:v>
                </c:pt>
                <c:pt idx="2">
                  <c:v>433.89809523809527</c:v>
                </c:pt>
                <c:pt idx="3">
                  <c:v>387.27079365079385</c:v>
                </c:pt>
                <c:pt idx="4">
                  <c:v>382.71119047619004</c:v>
                </c:pt>
                <c:pt idx="5">
                  <c:v>377.11104761904789</c:v>
                </c:pt>
                <c:pt idx="6">
                  <c:v>347.22971428571395</c:v>
                </c:pt>
                <c:pt idx="7">
                  <c:v>341.14406349206342</c:v>
                </c:pt>
                <c:pt idx="8">
                  <c:v>344.03161904761896</c:v>
                </c:pt>
                <c:pt idx="9">
                  <c:v>349.35158095238057</c:v>
                </c:pt>
                <c:pt idx="10">
                  <c:v>346.82415873015862</c:v>
                </c:pt>
                <c:pt idx="11">
                  <c:v>340.81788095238107</c:v>
                </c:pt>
                <c:pt idx="12">
                  <c:v>330.36601904761915</c:v>
                </c:pt>
                <c:pt idx="13">
                  <c:v>331.09555555555517</c:v>
                </c:pt>
                <c:pt idx="14">
                  <c:v>330.86207142857143</c:v>
                </c:pt>
                <c:pt idx="15">
                  <c:v>331.68627619047629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A03-4993-8B5F-B544809DA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61632"/>
        <c:axId val="52263552"/>
      </c:scatterChart>
      <c:valAx>
        <c:axId val="522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263552"/>
        <c:crosses val="autoZero"/>
        <c:crossBetween val="midCat"/>
        <c:majorUnit val="50"/>
      </c:valAx>
      <c:valAx>
        <c:axId val="52263552"/>
        <c:scaling>
          <c:orientation val="minMax"/>
          <c:max val="6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kWh/HP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52261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Demand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(All)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'AM+ Results'!$J$7:$Y$7</c:f>
              <c:numCache>
                <c:formatCode>General</c:formatCode>
                <c:ptCount val="16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50</c:v>
                </c:pt>
                <c:pt idx="7">
                  <c:v>75</c:v>
                </c:pt>
                <c:pt idx="8">
                  <c:v>100</c:v>
                </c:pt>
                <c:pt idx="9">
                  <c:v>125</c:v>
                </c:pt>
                <c:pt idx="10">
                  <c:v>150</c:v>
                </c:pt>
                <c:pt idx="11">
                  <c:v>200</c:v>
                </c:pt>
                <c:pt idx="12">
                  <c:v>250</c:v>
                </c:pt>
                <c:pt idx="13">
                  <c:v>300</c:v>
                </c:pt>
                <c:pt idx="14">
                  <c:v>400</c:v>
                </c:pt>
                <c:pt idx="15">
                  <c:v>500</c:v>
                </c:pt>
              </c:numCache>
            </c:numRef>
          </c:xVal>
          <c:yVal>
            <c:numRef>
              <c:f>'AM+ Results'!$J$23:$Y$23</c:f>
              <c:numCache>
                <c:formatCode>0.000</c:formatCode>
                <c:ptCount val="16"/>
                <c:pt idx="0">
                  <c:v>0.17049999999999998</c:v>
                </c:pt>
                <c:pt idx="1">
                  <c:v>0.15880952380952384</c:v>
                </c:pt>
                <c:pt idx="2">
                  <c:v>0.14859523809523811</c:v>
                </c:pt>
                <c:pt idx="3">
                  <c:v>0.13262698412698426</c:v>
                </c:pt>
                <c:pt idx="4">
                  <c:v>0.13106547619047604</c:v>
                </c:pt>
                <c:pt idx="5">
                  <c:v>0.12914761904761918</c:v>
                </c:pt>
                <c:pt idx="6">
                  <c:v>0.11891428571428553</c:v>
                </c:pt>
                <c:pt idx="7">
                  <c:v>0.11683015873015867</c:v>
                </c:pt>
                <c:pt idx="8">
                  <c:v>0.1178190476190476</c:v>
                </c:pt>
                <c:pt idx="9">
                  <c:v>0.11964095238095229</c:v>
                </c:pt>
                <c:pt idx="10">
                  <c:v>0.11877539682539673</c:v>
                </c:pt>
                <c:pt idx="11">
                  <c:v>0.11671845238095246</c:v>
                </c:pt>
                <c:pt idx="12">
                  <c:v>0.11313904761904758</c:v>
                </c:pt>
                <c:pt idx="13">
                  <c:v>0.11338888888888876</c:v>
                </c:pt>
                <c:pt idx="14">
                  <c:v>0.1133089285714286</c:v>
                </c:pt>
                <c:pt idx="15">
                  <c:v>0.11359119047619048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3E-40F9-B05D-85AA81DC0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72128"/>
        <c:axId val="52626560"/>
      </c:scatterChart>
      <c:valAx>
        <c:axId val="522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26560"/>
        <c:crosses val="autoZero"/>
        <c:crossBetween val="midCat"/>
        <c:majorUnit val="50"/>
      </c:valAx>
      <c:valAx>
        <c:axId val="52626560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kW/HP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2272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Energy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(50 HP - 500 HP)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Results'!$P$7:$Y$7</c:f>
              <c:numCache>
                <c:formatCode>General</c:formatCode>
                <c:ptCount val="10"/>
                <c:pt idx="0">
                  <c:v>50</c:v>
                </c:pt>
                <c:pt idx="1">
                  <c:v>75</c:v>
                </c:pt>
                <c:pt idx="2">
                  <c:v>100</c:v>
                </c:pt>
                <c:pt idx="3">
                  <c:v>125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400</c:v>
                </c:pt>
                <c:pt idx="9">
                  <c:v>500</c:v>
                </c:pt>
              </c:numCache>
            </c:numRef>
          </c:xVal>
          <c:yVal>
            <c:numRef>
              <c:f>'AM+ Results'!$P$19:$Y$19</c:f>
              <c:numCache>
                <c:formatCode>#,##0</c:formatCode>
                <c:ptCount val="10"/>
                <c:pt idx="0">
                  <c:v>347.22971428571395</c:v>
                </c:pt>
                <c:pt idx="1">
                  <c:v>341.14406349206342</c:v>
                </c:pt>
                <c:pt idx="2">
                  <c:v>344.03161904761896</c:v>
                </c:pt>
                <c:pt idx="3">
                  <c:v>349.35158095238057</c:v>
                </c:pt>
                <c:pt idx="4">
                  <c:v>346.82415873015862</c:v>
                </c:pt>
                <c:pt idx="5">
                  <c:v>340.81788095238107</c:v>
                </c:pt>
                <c:pt idx="6">
                  <c:v>330.36601904761915</c:v>
                </c:pt>
                <c:pt idx="7">
                  <c:v>331.09555555555517</c:v>
                </c:pt>
                <c:pt idx="8">
                  <c:v>330.86207142857143</c:v>
                </c:pt>
                <c:pt idx="9">
                  <c:v>331.68627619047629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CCB-4431-A0FE-04D8EBE3F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56000"/>
        <c:axId val="52662272"/>
      </c:scatterChart>
      <c:valAx>
        <c:axId val="526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62272"/>
        <c:crosses val="autoZero"/>
        <c:crossBetween val="midCat"/>
        <c:majorUnit val="50"/>
      </c:valAx>
      <c:valAx>
        <c:axId val="52662272"/>
        <c:scaling>
          <c:orientation val="minMax"/>
          <c:max val="6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kWh/HP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526560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Demand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(50 HP - 500 HP)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Results'!$P$7:$Y$7</c:f>
              <c:numCache>
                <c:formatCode>General</c:formatCode>
                <c:ptCount val="10"/>
                <c:pt idx="0">
                  <c:v>50</c:v>
                </c:pt>
                <c:pt idx="1">
                  <c:v>75</c:v>
                </c:pt>
                <c:pt idx="2">
                  <c:v>100</c:v>
                </c:pt>
                <c:pt idx="3">
                  <c:v>125</c:v>
                </c:pt>
                <c:pt idx="4">
                  <c:v>150</c:v>
                </c:pt>
                <c:pt idx="5">
                  <c:v>200</c:v>
                </c:pt>
                <c:pt idx="6">
                  <c:v>250</c:v>
                </c:pt>
                <c:pt idx="7">
                  <c:v>300</c:v>
                </c:pt>
                <c:pt idx="8">
                  <c:v>400</c:v>
                </c:pt>
                <c:pt idx="9">
                  <c:v>500</c:v>
                </c:pt>
              </c:numCache>
            </c:numRef>
          </c:xVal>
          <c:yVal>
            <c:numRef>
              <c:f>'AM+ Results'!$P$23:$Y$23</c:f>
              <c:numCache>
                <c:formatCode>0.000</c:formatCode>
                <c:ptCount val="10"/>
                <c:pt idx="0">
                  <c:v>0.11891428571428553</c:v>
                </c:pt>
                <c:pt idx="1">
                  <c:v>0.11683015873015867</c:v>
                </c:pt>
                <c:pt idx="2">
                  <c:v>0.1178190476190476</c:v>
                </c:pt>
                <c:pt idx="3">
                  <c:v>0.11964095238095229</c:v>
                </c:pt>
                <c:pt idx="4">
                  <c:v>0.11877539682539673</c:v>
                </c:pt>
                <c:pt idx="5">
                  <c:v>0.11671845238095246</c:v>
                </c:pt>
                <c:pt idx="6">
                  <c:v>0.11313904761904758</c:v>
                </c:pt>
                <c:pt idx="7">
                  <c:v>0.11338888888888876</c:v>
                </c:pt>
                <c:pt idx="8">
                  <c:v>0.1133089285714286</c:v>
                </c:pt>
                <c:pt idx="9">
                  <c:v>0.11359119047619048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814-4232-8B82-63564FC4F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83904"/>
        <c:axId val="52685824"/>
      </c:scatterChart>
      <c:valAx>
        <c:axId val="526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685824"/>
        <c:crosses val="autoZero"/>
        <c:crossBetween val="midCat"/>
        <c:majorUnit val="50"/>
      </c:valAx>
      <c:valAx>
        <c:axId val="52685824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kW/HP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2683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Energy Savings</a:t>
            </a:r>
          </a:p>
          <a:p>
            <a:pPr>
              <a:defRPr/>
            </a:pPr>
            <a:r>
              <a:rPr lang="en-US"/>
              <a:t>vs</a:t>
            </a:r>
          </a:p>
          <a:p>
            <a:pPr>
              <a:defRPr/>
            </a:pPr>
            <a:r>
              <a:rPr lang="en-US" baseline="0"/>
              <a:t>Compressor Size (5 HP - 50 HP)</a:t>
            </a:r>
          </a:p>
          <a:p>
            <a:pPr>
              <a:defRPr/>
            </a:pP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26440713906537"/>
          <c:y val="0.22347721643856566"/>
          <c:w val="0.84656092801749838"/>
          <c:h val="0.64117657857089516"/>
        </c:manualLayout>
      </c:layout>
      <c:scatterChart>
        <c:scatterStyle val="lineMarker"/>
        <c:varyColors val="0"/>
        <c:ser>
          <c:idx val="0"/>
          <c:order val="0"/>
          <c:tx>
            <c:v>5 HP - 15 HP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Results'!$J$7:$M$7</c:f>
              <c:numCache>
                <c:formatCode>General</c:formatCode>
                <c:ptCount val="4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'AM+ Results'!$J$19:$M$19</c:f>
              <c:numCache>
                <c:formatCode>#,##0</c:formatCode>
                <c:ptCount val="4"/>
                <c:pt idx="0">
                  <c:v>497.8599999999999</c:v>
                </c:pt>
                <c:pt idx="1">
                  <c:v>463.72380952380968</c:v>
                </c:pt>
                <c:pt idx="2">
                  <c:v>433.89809523809527</c:v>
                </c:pt>
                <c:pt idx="3">
                  <c:v>387.27079365079385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1B0-41AD-B003-BB7670492A64}"/>
            </c:ext>
          </c:extLst>
        </c:ser>
        <c:ser>
          <c:idx val="1"/>
          <c:order val="1"/>
          <c:tx>
            <c:v>15 HP - 50 HP</c:v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'AM+ Results'!$M$7:$P$7</c:f>
              <c:numCache>
                <c:formatCode>General</c:formatCode>
                <c:ptCount val="4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50</c:v>
                </c:pt>
              </c:numCache>
            </c:numRef>
          </c:xVal>
          <c:yVal>
            <c:numRef>
              <c:f>'AM+ Results'!$M$19:$P$19</c:f>
              <c:numCache>
                <c:formatCode>#,##0</c:formatCode>
                <c:ptCount val="4"/>
                <c:pt idx="0">
                  <c:v>387.27079365079385</c:v>
                </c:pt>
                <c:pt idx="1">
                  <c:v>382.71119047619004</c:v>
                </c:pt>
                <c:pt idx="2">
                  <c:v>377.11104761904789</c:v>
                </c:pt>
                <c:pt idx="3">
                  <c:v>347.22971428571395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1B0-41AD-B003-BB7670492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40864"/>
        <c:axId val="52742784"/>
      </c:scatterChart>
      <c:valAx>
        <c:axId val="527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Compressor Rated Power (kW)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742784"/>
        <c:crosses val="autoZero"/>
        <c:crossBetween val="midCat"/>
      </c:valAx>
      <c:valAx>
        <c:axId val="5274278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 b="1"/>
                  <a:t>Saved kWh/HP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52740864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22687741386762594"/>
          <c:y val="0.60694276229411415"/>
          <c:w val="0.17736015834506863"/>
          <c:h val="0.1408499064833353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lang="en-US"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35</xdr:row>
      <xdr:rowOff>120649</xdr:rowOff>
    </xdr:from>
    <xdr:to>
      <xdr:col>12</xdr:col>
      <xdr:colOff>101600</xdr:colOff>
      <xdr:row>67</xdr:row>
      <xdr:rowOff>122464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674512</xdr:colOff>
      <xdr:row>0</xdr:row>
      <xdr:rowOff>149365</xdr:rowOff>
    </xdr:from>
    <xdr:to>
      <xdr:col>27</xdr:col>
      <xdr:colOff>60918</xdr:colOff>
      <xdr:row>15</xdr:row>
      <xdr:rowOff>6316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887504</xdr:colOff>
      <xdr:row>0</xdr:row>
      <xdr:rowOff>107579</xdr:rowOff>
    </xdr:from>
    <xdr:to>
      <xdr:col>14</xdr:col>
      <xdr:colOff>877195</xdr:colOff>
      <xdr:row>15</xdr:row>
      <xdr:rowOff>107579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35859</xdr:colOff>
      <xdr:row>0</xdr:row>
      <xdr:rowOff>35858</xdr:rowOff>
    </xdr:from>
    <xdr:to>
      <xdr:col>21</xdr:col>
      <xdr:colOff>428961</xdr:colOff>
      <xdr:row>15</xdr:row>
      <xdr:rowOff>35858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244927</xdr:colOff>
      <xdr:row>28</xdr:row>
      <xdr:rowOff>104773</xdr:rowOff>
    </xdr:from>
    <xdr:to>
      <xdr:col>15</xdr:col>
      <xdr:colOff>122464</xdr:colOff>
      <xdr:row>53</xdr:row>
      <xdr:rowOff>136071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28</xdr:row>
      <xdr:rowOff>0</xdr:rowOff>
    </xdr:from>
    <xdr:to>
      <xdr:col>25</xdr:col>
      <xdr:colOff>81642</xdr:colOff>
      <xdr:row>53</xdr:row>
      <xdr:rowOff>31298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204108</xdr:colOff>
      <xdr:row>55</xdr:row>
      <xdr:rowOff>0</xdr:rowOff>
    </xdr:from>
    <xdr:to>
      <xdr:col>15</xdr:col>
      <xdr:colOff>81645</xdr:colOff>
      <xdr:row>80</xdr:row>
      <xdr:rowOff>31298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55</xdr:row>
      <xdr:rowOff>0</xdr:rowOff>
    </xdr:from>
    <xdr:to>
      <xdr:col>25</xdr:col>
      <xdr:colOff>149678</xdr:colOff>
      <xdr:row>80</xdr:row>
      <xdr:rowOff>31298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204107</xdr:colOff>
      <xdr:row>82</xdr:row>
      <xdr:rowOff>0</xdr:rowOff>
    </xdr:from>
    <xdr:to>
      <xdr:col>15</xdr:col>
      <xdr:colOff>81644</xdr:colOff>
      <xdr:row>107</xdr:row>
      <xdr:rowOff>31298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0</xdr:colOff>
      <xdr:row>82</xdr:row>
      <xdr:rowOff>0</xdr:rowOff>
    </xdr:from>
    <xdr:to>
      <xdr:col>25</xdr:col>
      <xdr:colOff>149678</xdr:colOff>
      <xdr:row>107</xdr:row>
      <xdr:rowOff>31298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35</xdr:row>
      <xdr:rowOff>185737</xdr:rowOff>
    </xdr:from>
    <xdr:to>
      <xdr:col>10</xdr:col>
      <xdr:colOff>0</xdr:colOff>
      <xdr:row>51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561975</xdr:colOff>
      <xdr:row>36</xdr:row>
      <xdr:rowOff>85725</xdr:rowOff>
    </xdr:from>
    <xdr:to>
      <xdr:col>20</xdr:col>
      <xdr:colOff>371475</xdr:colOff>
      <xdr:row>52</xdr:row>
      <xdr:rowOff>80963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seph Ling" refreshedDate="43228.534668402775" createdVersion="5" refreshedVersion="6" minRefreshableVersion="3" recordCount="60">
  <cacheSource type="worksheet">
    <worksheetSource ref="B2:I62" sheet="Grainger 2018"/>
  </cacheSource>
  <cacheFields count="8">
    <cacheField name="Max. HP " numFmtId="0">
      <sharedItems containsSemiMixedTypes="0" containsString="0" containsNumber="1" minValue="3" maxValue="250" count="18">
        <n v="3"/>
        <n v="4"/>
        <n v="5"/>
        <n v="7.5"/>
        <n v="10"/>
        <n v="15"/>
        <n v="20"/>
        <n v="25"/>
        <n v="30"/>
        <n v="40"/>
        <n v="50"/>
        <n v="60"/>
        <n v="75"/>
        <n v="100" u="1"/>
        <n v="125" u="1"/>
        <n v="150" u="1"/>
        <n v="200" u="1"/>
        <n v="250" u="1"/>
      </sharedItems>
    </cacheField>
    <cacheField name="Max. Output Amps" numFmtId="0">
      <sharedItems containsSemiMixedTypes="0" containsString="0" containsNumber="1" minValue="4.8" maxValue="105"/>
    </cacheField>
    <cacheField name="Output Voltage" numFmtId="0">
      <sharedItems/>
    </cacheField>
    <cacheField name="Enclosure" numFmtId="0">
      <sharedItems/>
    </cacheField>
    <cacheField name="With Bypass / No..." numFmtId="0">
      <sharedItems/>
    </cacheField>
    <cacheField name="Item #" numFmtId="0">
      <sharedItems/>
    </cacheField>
    <cacheField name="Price" numFmtId="44">
      <sharedItems containsSemiMixedTypes="0" containsString="0" containsNumber="1" containsInteger="1" minValue="820" maxValue="8281"/>
    </cacheField>
    <cacheField name="$/HP" numFmtId="44">
      <sharedItems containsSemiMixedTypes="0" containsString="0" containsNumber="1" minValue="88.12" maxValue="4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n v="4.8"/>
    <s v="480VAC"/>
    <s v="NEMA 1"/>
    <s v="No Bypass"/>
    <s v="32WP74"/>
    <n v="1443"/>
    <n v="481"/>
  </r>
  <r>
    <x v="0"/>
    <n v="5.6"/>
    <s v="480VAC"/>
    <s v="NEMA 1"/>
    <s v="No Bypass"/>
    <s v="32WP38"/>
    <n v="820"/>
    <n v="273.33333333333331"/>
  </r>
  <r>
    <x v="0"/>
    <n v="5.6"/>
    <s v="480VAC"/>
    <s v="NEMA 1"/>
    <s v="No Bypass"/>
    <s v="4LRP2"/>
    <n v="1381"/>
    <n v="460.33333333333331"/>
  </r>
  <r>
    <x v="0"/>
    <n v="5.6"/>
    <s v="480VAC"/>
    <s v="NEMA 1"/>
    <s v="No Bypass"/>
    <s v="32WN88"/>
    <n v="1050"/>
    <n v="350"/>
  </r>
  <r>
    <x v="0"/>
    <n v="5.6"/>
    <s v="480VAC"/>
    <s v="NEMA 1"/>
    <s v="No Bypass"/>
    <s v="40HZ18"/>
    <n v="1009"/>
    <n v="336.33333333333331"/>
  </r>
  <r>
    <x v="1"/>
    <n v="8"/>
    <s v="480VAC"/>
    <s v="NEMA 1"/>
    <s v="No Bypass"/>
    <s v="32WP39"/>
    <n v="881"/>
    <n v="220.25"/>
  </r>
  <r>
    <x v="2"/>
    <n v="7.6"/>
    <s v="480VAC"/>
    <s v="NEMA 1"/>
    <s v="No Bypass"/>
    <s v="32WP75"/>
    <n v="1618"/>
    <n v="323.60000000000002"/>
  </r>
  <r>
    <x v="2"/>
    <n v="7.6"/>
    <s v="480VAC"/>
    <s v="NEMA 1"/>
    <s v="No Bypass"/>
    <s v="4LRP3"/>
    <n v="1473"/>
    <n v="294.60000000000002"/>
  </r>
  <r>
    <x v="2"/>
    <n v="7.6"/>
    <s v="480VAC"/>
    <s v="NEMA 1"/>
    <s v="No Bypass"/>
    <s v="40HY75"/>
    <n v="1228"/>
    <n v="245.6"/>
  </r>
  <r>
    <x v="2"/>
    <n v="7.6"/>
    <s v="480VAC"/>
    <s v="NEMA 1"/>
    <s v="No Bypass"/>
    <s v="32WN89"/>
    <n v="1279"/>
    <n v="255.8"/>
  </r>
  <r>
    <x v="2"/>
    <n v="9.6"/>
    <s v="480VAC"/>
    <s v="NEMA 1"/>
    <s v="No Bypass"/>
    <s v="32WP40"/>
    <n v="904"/>
    <n v="180.8"/>
  </r>
  <r>
    <x v="3"/>
    <n v="12"/>
    <s v="480VAC"/>
    <s v="NEMA 1"/>
    <s v="No Bypass"/>
    <s v="4LRP4"/>
    <n v="1753"/>
    <n v="233.73333333333332"/>
  </r>
  <r>
    <x v="3"/>
    <n v="9"/>
    <s v="480VAC"/>
    <s v="NEMA 1"/>
    <s v="No Bypass"/>
    <s v="32WN90"/>
    <n v="1388"/>
    <n v="185.06666666666666"/>
  </r>
  <r>
    <x v="3"/>
    <n v="11"/>
    <s v="480VAC"/>
    <s v="NEMA 1"/>
    <s v="No Bypass"/>
    <s v="32WP76"/>
    <n v="1799"/>
    <n v="239.86666666666667"/>
  </r>
  <r>
    <x v="3"/>
    <n v="12"/>
    <s v="480VAC"/>
    <s v="NEMA 1"/>
    <s v="No Bypass"/>
    <s v="32WP41"/>
    <n v="1026"/>
    <n v="136.80000000000001"/>
  </r>
  <r>
    <x v="3"/>
    <n v="12"/>
    <s v="480VAC"/>
    <s v="NEMA 1"/>
    <s v="No Bypass"/>
    <s v="32WN91"/>
    <n v="1495"/>
    <n v="199.33333333333334"/>
  </r>
  <r>
    <x v="3"/>
    <n v="12"/>
    <s v="480VAC"/>
    <s v="NEMA 1"/>
    <s v="No Bypass"/>
    <s v="40HZ22"/>
    <n v="1333"/>
    <n v="177.73333333333332"/>
  </r>
  <r>
    <x v="3"/>
    <n v="12"/>
    <s v="480VAC"/>
    <s v="NEMA 1"/>
    <s v="No Bypass"/>
    <s v="40HY76"/>
    <n v="1364"/>
    <n v="181.86666666666667"/>
  </r>
  <r>
    <x v="4"/>
    <n v="14"/>
    <s v="480VAC"/>
    <s v="NEMA 1"/>
    <s v="No Bypass"/>
    <s v="32WP77"/>
    <n v="1952"/>
    <n v="195.2"/>
  </r>
  <r>
    <x v="4"/>
    <n v="16"/>
    <s v="480VAC"/>
    <s v="NEMA 1"/>
    <s v="No Bypass"/>
    <s v="4LRP5"/>
    <n v="2086"/>
    <n v="208.6"/>
  </r>
  <r>
    <x v="4"/>
    <n v="16"/>
    <s v="480VAC"/>
    <s v="NEMA 1"/>
    <s v="No Bypass"/>
    <s v="32WN92"/>
    <n v="1601"/>
    <n v="160.1"/>
  </r>
  <r>
    <x v="4"/>
    <n v="16"/>
    <s v="480VAC"/>
    <s v="NEMA 1"/>
    <s v="No Bypass"/>
    <s v="40HZ21"/>
    <n v="1460"/>
    <n v="146"/>
  </r>
  <r>
    <x v="4"/>
    <n v="16"/>
    <s v="480VAC"/>
    <s v="NEMA 1"/>
    <s v="No Bypass"/>
    <s v="32WP42"/>
    <n v="1265"/>
    <n v="126.5"/>
  </r>
  <r>
    <x v="5"/>
    <n v="21"/>
    <s v="480VAC"/>
    <s v="NEMA 1"/>
    <s v="No Bypass"/>
    <s v="32WP78"/>
    <n v="2123"/>
    <n v="141.53333333333333"/>
  </r>
  <r>
    <x v="5"/>
    <n v="23"/>
    <s v="480VAC"/>
    <s v="NEMA 1"/>
    <s v="No Bypass"/>
    <s v="4LRP6"/>
    <n v="1871"/>
    <n v="124.73333333333333"/>
  </r>
  <r>
    <x v="5"/>
    <n v="23"/>
    <s v="480VAC"/>
    <s v="NEMA 1"/>
    <s v="No Bypass"/>
    <s v="40HY95"/>
    <n v="1697"/>
    <n v="113.13333333333334"/>
  </r>
  <r>
    <x v="5"/>
    <n v="23"/>
    <s v="480VAC"/>
    <s v="NEMA 1"/>
    <s v="No Bypass"/>
    <s v="32WN93"/>
    <n v="1862"/>
    <n v="124.13333333333334"/>
  </r>
  <r>
    <x v="5"/>
    <n v="23"/>
    <s v="480VAC"/>
    <s v="NEMA 1"/>
    <s v="No Bypass"/>
    <s v="32WP43"/>
    <n v="1638"/>
    <n v="109.2"/>
  </r>
  <r>
    <x v="6"/>
    <n v="27"/>
    <s v="480VAC"/>
    <s v="NEMA 1"/>
    <s v="No Bypass"/>
    <s v="32WP79"/>
    <n v="2565"/>
    <n v="128.25"/>
  </r>
  <r>
    <x v="6"/>
    <n v="31"/>
    <s v="480VAC"/>
    <s v="NEMA 1"/>
    <s v="No Bypass"/>
    <s v="40HZ33"/>
    <n v="2314"/>
    <n v="115.7"/>
  </r>
  <r>
    <x v="6"/>
    <n v="31"/>
    <s v="480VAC"/>
    <s v="NEMA 1"/>
    <s v="No Bypass"/>
    <s v="4LRP7"/>
    <n v="2304"/>
    <n v="115.2"/>
  </r>
  <r>
    <x v="6"/>
    <n v="31"/>
    <s v="480VAC"/>
    <s v="NEMA 1"/>
    <s v="No Bypass"/>
    <s v="32WP44"/>
    <n v="2083"/>
    <n v="104.15"/>
  </r>
  <r>
    <x v="6"/>
    <n v="31"/>
    <s v="480VAC"/>
    <s v="NEMA 1"/>
    <s v="No Bypass"/>
    <s v="32WN94"/>
    <n v="2536"/>
    <n v="126.8"/>
  </r>
  <r>
    <x v="7"/>
    <n v="34"/>
    <s v="480VAC"/>
    <s v="NEMA 1"/>
    <s v="No Bypass"/>
    <s v="32WP80"/>
    <n v="3299"/>
    <n v="131.96"/>
  </r>
  <r>
    <x v="7"/>
    <n v="38"/>
    <s v="480VAC"/>
    <s v="NEMA 1"/>
    <s v="No Bypass"/>
    <s v="40HZ02"/>
    <n v="2575"/>
    <n v="103"/>
  </r>
  <r>
    <x v="7"/>
    <n v="38"/>
    <s v="480VAC"/>
    <s v="NEMA 1"/>
    <s v="No Bypass"/>
    <s v="4LRP8"/>
    <n v="2706"/>
    <n v="108.24"/>
  </r>
  <r>
    <x v="7"/>
    <n v="38"/>
    <s v="480VAC"/>
    <s v="NEMA 1"/>
    <s v="No Bypass"/>
    <s v="32WP45"/>
    <n v="2669"/>
    <n v="106.76"/>
  </r>
  <r>
    <x v="7"/>
    <n v="38"/>
    <s v="480VAC"/>
    <s v="NEMA 1"/>
    <s v="No Bypass"/>
    <s v="32WN95"/>
    <n v="2823"/>
    <n v="112.92"/>
  </r>
  <r>
    <x v="8"/>
    <n v="40"/>
    <s v="480VAC"/>
    <s v="NEMA 1"/>
    <s v="No Bypass"/>
    <s v="32WP81"/>
    <n v="4028"/>
    <n v="134.26666666666668"/>
  </r>
  <r>
    <x v="8"/>
    <n v="46"/>
    <s v="480VAC"/>
    <s v="NEMA 1"/>
    <s v="No Bypass"/>
    <s v="4LRP9"/>
    <n v="3015"/>
    <n v="100.5"/>
  </r>
  <r>
    <x v="8"/>
    <n v="46"/>
    <s v="480VAC"/>
    <s v="NEMA 1"/>
    <s v="No Bypass"/>
    <s v="32WP46"/>
    <n v="3109"/>
    <n v="103.63333333333334"/>
  </r>
  <r>
    <x v="8"/>
    <n v="46"/>
    <s v="480VAC"/>
    <s v="NEMA 1"/>
    <s v="No Bypass"/>
    <s v="40HZ01"/>
    <n v="3149"/>
    <n v="104.96666666666667"/>
  </r>
  <r>
    <x v="8"/>
    <n v="46"/>
    <s v="480VAC"/>
    <s v="NEMA 1"/>
    <s v="No Bypass"/>
    <s v="32WN96"/>
    <n v="3452"/>
    <n v="115.06666666666666"/>
  </r>
  <r>
    <x v="9"/>
    <n v="52"/>
    <s v="480VAC"/>
    <s v="NEMA 1"/>
    <s v="No Bypass"/>
    <s v="32WP82"/>
    <n v="4916"/>
    <n v="122.9"/>
  </r>
  <r>
    <x v="9"/>
    <n v="61"/>
    <s v="480VAC"/>
    <s v="NEMA 1"/>
    <s v="No Bypass"/>
    <s v="4LRR1"/>
    <n v="3688"/>
    <n v="92.2"/>
  </r>
  <r>
    <x v="9"/>
    <n v="61"/>
    <s v="480VAC"/>
    <s v="NEMA 1"/>
    <s v="No Bypass"/>
    <s v="32WP47"/>
    <n v="3810"/>
    <n v="95.25"/>
  </r>
  <r>
    <x v="9"/>
    <n v="61"/>
    <s v="480VAC"/>
    <s v="NEMA 1"/>
    <s v="No Bypass"/>
    <s v="40HZ04"/>
    <n v="4089"/>
    <n v="102.22499999999999"/>
  </r>
  <r>
    <x v="9"/>
    <n v="61"/>
    <s v="480VAC"/>
    <s v="NEMA 1"/>
    <s v="No Bypass"/>
    <s v="32WN97"/>
    <n v="4867"/>
    <n v="121.675"/>
  </r>
  <r>
    <x v="10"/>
    <n v="65"/>
    <s v="480VAC"/>
    <s v="NEMA 1"/>
    <s v="No Bypass"/>
    <s v="32WP83"/>
    <n v="5979"/>
    <n v="119.58"/>
  </r>
  <r>
    <x v="10"/>
    <n v="72"/>
    <s v="480VAC"/>
    <s v="NEMA 1"/>
    <s v="No Bypass"/>
    <s v="4LRR2"/>
    <n v="5420"/>
    <n v="108.4"/>
  </r>
  <r>
    <x v="10"/>
    <n v="72"/>
    <s v="480VAC"/>
    <s v="NEMA 1"/>
    <s v="No Bypass"/>
    <s v="32WP48"/>
    <n v="4971"/>
    <n v="99.42"/>
  </r>
  <r>
    <x v="10"/>
    <n v="72"/>
    <s v="480VAC"/>
    <s v="NEMA 1"/>
    <s v="No Bypass"/>
    <s v="40HY92"/>
    <n v="4447"/>
    <n v="88.94"/>
  </r>
  <r>
    <x v="10"/>
    <n v="72"/>
    <s v="480VAC"/>
    <s v="NEMA 1"/>
    <s v="No Bypass"/>
    <s v="32WN98"/>
    <n v="5008"/>
    <n v="100.16"/>
  </r>
  <r>
    <x v="11"/>
    <n v="77"/>
    <s v="480VAC"/>
    <s v="NEMA 1"/>
    <s v="No Bypass"/>
    <s v="32WP84"/>
    <n v="7714"/>
    <n v="128.56666666666666"/>
  </r>
  <r>
    <x v="11"/>
    <n v="87"/>
    <s v="480VAC"/>
    <s v="NEMA 1"/>
    <s v="No Bypass"/>
    <s v="4LRR3"/>
    <n v="5351"/>
    <n v="89.183333333333337"/>
  </r>
  <r>
    <x v="11"/>
    <n v="87"/>
    <s v="480VAC"/>
    <s v="NEMA 1"/>
    <s v="No Bypass"/>
    <s v="32WP49"/>
    <n v="5603"/>
    <n v="93.38333333333334"/>
  </r>
  <r>
    <x v="11"/>
    <n v="87"/>
    <s v="480VAC"/>
    <s v="NEMA 1"/>
    <s v="No Bypass"/>
    <s v="40HZ23"/>
    <n v="5347"/>
    <n v="89.11666666666666"/>
  </r>
  <r>
    <x v="11"/>
    <n v="87"/>
    <s v="480VAC"/>
    <s v="NEMA 1"/>
    <s v="No Bypass"/>
    <s v="32WN99"/>
    <n v="6188"/>
    <n v="103.13333333333334"/>
  </r>
  <r>
    <x v="12"/>
    <n v="96"/>
    <s v="480VAC"/>
    <s v="NEMA 1"/>
    <s v="No Bypass"/>
    <s v="32WP85"/>
    <n v="8281"/>
    <n v="110.41333333333333"/>
  </r>
  <r>
    <x v="12"/>
    <n v="105"/>
    <s v="480VAC"/>
    <s v="480VAC"/>
    <s v="480VAC"/>
    <s v="4LRR4"/>
    <n v="6609"/>
    <n v="88.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5" indent="0" outline="1" outlineData="1" multipleFieldFilters="0">
  <location ref="N3:P16" firstHeaderRow="0" firstDataRow="1" firstDataCol="1"/>
  <pivotFields count="8"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m="1" x="13"/>
        <item m="1" x="14"/>
        <item m="1" x="15"/>
        <item m="1" x="16"/>
        <item m="1" x="17"/>
        <item t="default"/>
      </items>
    </pivotField>
    <pivotField showAll="0"/>
    <pivotField showAll="0"/>
    <pivotField showAll="0"/>
    <pivotField showAll="0"/>
    <pivotField showAll="0"/>
    <pivotField dataField="1" numFmtId="44" showAll="0"/>
    <pivotField dataField="1" numFmtId="44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2">
    <i>
      <x/>
    </i>
    <i i="1">
      <x v="1"/>
    </i>
  </colItems>
  <dataFields count="2">
    <dataField name="Average of Price" fld="6" subtotal="average" baseField="0" baseItem="0"/>
    <dataField name="Average of $/HP" fld="7" subtotal="average" baseField="0" baseItem="2"/>
  </dataFields>
  <formats count="1">
    <format dxfId="0">
      <pivotArea collapsedLevelsAreSubtotals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oemaircompressor.com/bogecandcfvsdseriesrotaryscrewcompressors.aspx" TargetMode="External"/><Relationship Id="rId2" Type="http://schemas.openxmlformats.org/officeDocument/2006/relationships/hyperlink" Target="http://oemaircompressor.com/ingersollrandnirvanavariablefrequencyrotarycompressors.aspx" TargetMode="External"/><Relationship Id="rId1" Type="http://schemas.openxmlformats.org/officeDocument/2006/relationships/hyperlink" Target="http://oemaircompressor.com/ga71115vsdoilinjectedscrewcompressors.aspx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irbestpractices.com/industries/power/instrument-air-nuclear-power-plants" TargetMode="External"/><Relationship Id="rId2" Type="http://schemas.openxmlformats.org/officeDocument/2006/relationships/hyperlink" Target="http://www.airbestpractices.com/industries/power/boiler-soot-blowing-power-plants" TargetMode="External"/><Relationship Id="rId1" Type="http://schemas.openxmlformats.org/officeDocument/2006/relationships/hyperlink" Target="http://www.airbestpractices.com/system-assessments/compressor-controls/hospital-air-system-savings" TargetMode="External"/><Relationship Id="rId6" Type="http://schemas.openxmlformats.org/officeDocument/2006/relationships/hyperlink" Target="http://www.quincycompressor.com/agriculture.html" TargetMode="External"/><Relationship Id="rId5" Type="http://schemas.openxmlformats.org/officeDocument/2006/relationships/hyperlink" Target="http://www.quincycompressor.com/medical.html" TargetMode="External"/><Relationship Id="rId4" Type="http://schemas.openxmlformats.org/officeDocument/2006/relationships/hyperlink" Target="http://www.airbestpractices.com/industries/wastewater/compressed-air-wastewater-treat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A47"/>
  <sheetViews>
    <sheetView topLeftCell="C1" zoomScale="85" zoomScaleNormal="85" workbookViewId="0">
      <selection activeCell="N19" sqref="N19"/>
    </sheetView>
  </sheetViews>
  <sheetFormatPr defaultRowHeight="14.4"/>
  <cols>
    <col min="3" max="3" width="14.44140625" customWidth="1"/>
    <col min="4" max="4" width="16.77734375" bestFit="1" customWidth="1"/>
    <col min="5" max="5" width="13.44140625" customWidth="1"/>
    <col min="6" max="6" width="14.77734375" customWidth="1"/>
    <col min="7" max="7" width="12.5546875" bestFit="1" customWidth="1"/>
    <col min="8" max="8" width="13.44140625" customWidth="1"/>
    <col min="9" max="9" width="17.5546875" customWidth="1"/>
    <col min="10" max="11" width="16.44140625" customWidth="1"/>
    <col min="12" max="12" width="15.77734375" customWidth="1"/>
    <col min="13" max="13" width="13.5546875" customWidth="1"/>
    <col min="15" max="15" width="12.5546875" bestFit="1" customWidth="1"/>
    <col min="16" max="18" width="12.5546875" customWidth="1"/>
    <col min="19" max="19" width="13.5546875" customWidth="1"/>
    <col min="20" max="20" width="11.21875" customWidth="1"/>
    <col min="21" max="21" width="13.77734375" bestFit="1" customWidth="1"/>
  </cols>
  <sheetData>
    <row r="2" spans="2:27" ht="18">
      <c r="B2" s="96" t="s">
        <v>250</v>
      </c>
      <c r="C2" s="96"/>
      <c r="D2" s="96"/>
      <c r="E2" s="96"/>
      <c r="F2" s="96"/>
      <c r="G2" s="96"/>
      <c r="H2" s="96"/>
      <c r="P2" s="5"/>
      <c r="Q2" s="5"/>
    </row>
    <row r="3" spans="2:27">
      <c r="B3" s="97" t="s">
        <v>80</v>
      </c>
      <c r="C3" s="97"/>
      <c r="D3" s="97"/>
      <c r="E3" s="97"/>
      <c r="F3" s="97"/>
      <c r="G3" s="97"/>
      <c r="H3" s="97"/>
    </row>
    <row r="4" spans="2:27" s="30" customFormat="1">
      <c r="B4" s="98" t="s">
        <v>81</v>
      </c>
      <c r="C4" s="98"/>
      <c r="D4" s="98"/>
      <c r="E4" s="98"/>
      <c r="F4" s="98"/>
      <c r="G4" s="98"/>
      <c r="H4" s="98"/>
      <c r="AA4"/>
    </row>
    <row r="5" spans="2:27" s="1" customFormat="1" ht="43.2">
      <c r="B5" s="1" t="s">
        <v>0</v>
      </c>
      <c r="C5" s="1" t="s">
        <v>1</v>
      </c>
      <c r="D5" s="2" t="s">
        <v>67</v>
      </c>
      <c r="E5" s="1" t="s">
        <v>2</v>
      </c>
      <c r="F5" s="2" t="s">
        <v>66</v>
      </c>
      <c r="G5" s="2" t="s">
        <v>3</v>
      </c>
      <c r="H5" s="2" t="s">
        <v>68</v>
      </c>
      <c r="J5" s="2"/>
      <c r="K5" s="2"/>
      <c r="L5" s="2"/>
      <c r="M5" s="2"/>
      <c r="AA5"/>
    </row>
    <row r="6" spans="2:27" ht="15" thickBot="1">
      <c r="B6">
        <v>3</v>
      </c>
      <c r="C6" s="3">
        <v>1950</v>
      </c>
      <c r="D6" s="3">
        <v>580</v>
      </c>
      <c r="E6" s="4">
        <v>580</v>
      </c>
      <c r="F6" s="4">
        <f t="shared" ref="F6:F19" si="0">D6/B6</f>
        <v>193.33333333333334</v>
      </c>
      <c r="G6" s="5">
        <f>664.0598*B6^-0.3037</f>
        <v>475.66967516557241</v>
      </c>
      <c r="H6" s="5">
        <f xml:space="preserve"> 305.1114*B6^-0.5621</f>
        <v>164.5388953844712</v>
      </c>
      <c r="M6" s="6"/>
      <c r="O6" s="13" t="s">
        <v>185</v>
      </c>
      <c r="R6" s="94" t="s">
        <v>265</v>
      </c>
    </row>
    <row r="7" spans="2:27">
      <c r="B7">
        <v>5</v>
      </c>
      <c r="C7" s="3">
        <v>2225</v>
      </c>
      <c r="D7" s="3">
        <v>580</v>
      </c>
      <c r="E7" s="4">
        <f t="shared" ref="E7:E19" si="1">C7/B7</f>
        <v>445</v>
      </c>
      <c r="F7" s="4">
        <f t="shared" si="0"/>
        <v>116</v>
      </c>
      <c r="G7" s="5">
        <f t="shared" ref="G7:G34" si="2">664.0598*B7^-0.3037</f>
        <v>407.31462111118304</v>
      </c>
      <c r="H7" s="5">
        <f t="shared" ref="H7:H34" si="3" xml:space="preserve"> 305.1114*B7^-0.5621</f>
        <v>123.47169076828821</v>
      </c>
      <c r="O7">
        <v>5</v>
      </c>
      <c r="P7" s="5">
        <f>664.0598*O7^-0.3037</f>
        <v>407.31462111118304</v>
      </c>
      <c r="Q7" s="5">
        <f xml:space="preserve"> 305.1114*O7^-0.5621</f>
        <v>123.47169076828821</v>
      </c>
      <c r="R7" s="90" t="s">
        <v>263</v>
      </c>
      <c r="S7" s="95">
        <f>AVERAGE(P7:P9)</f>
        <v>365.81089306286691</v>
      </c>
      <c r="T7" s="24" t="s">
        <v>196</v>
      </c>
      <c r="U7" s="24"/>
      <c r="V7" s="24"/>
      <c r="W7" s="24"/>
      <c r="X7" s="24"/>
      <c r="Y7" s="9"/>
      <c r="Z7" s="4"/>
    </row>
    <row r="8" spans="2:27">
      <c r="B8">
        <v>7.5</v>
      </c>
      <c r="C8" s="3">
        <v>2700</v>
      </c>
      <c r="D8" s="3">
        <v>695</v>
      </c>
      <c r="E8" s="4">
        <f t="shared" si="1"/>
        <v>360</v>
      </c>
      <c r="F8" s="4">
        <f t="shared" si="0"/>
        <v>92.666666666666671</v>
      </c>
      <c r="G8" s="5">
        <f t="shared" si="2"/>
        <v>360.12318674596196</v>
      </c>
      <c r="H8" s="5">
        <f t="shared" si="3"/>
        <v>98.307465266364019</v>
      </c>
      <c r="O8">
        <v>7.5</v>
      </c>
      <c r="P8" s="5">
        <f t="shared" ref="P8:P9" si="4">664.0598*O8^-0.3037</f>
        <v>360.12318674596196</v>
      </c>
      <c r="Q8" s="5">
        <f t="shared" ref="Q8:Q9" si="5" xml:space="preserve"> 305.1114*O8^-0.5621</f>
        <v>98.307465266364019</v>
      </c>
      <c r="R8" s="90" t="s">
        <v>264</v>
      </c>
      <c r="S8" s="95">
        <f>AVERAGE(Q7:Q9)</f>
        <v>101.80281694694396</v>
      </c>
      <c r="T8" s="25" t="s">
        <v>197</v>
      </c>
      <c r="U8" s="25"/>
      <c r="V8" s="25"/>
      <c r="W8" s="25"/>
      <c r="X8" s="25"/>
      <c r="Y8" s="10"/>
      <c r="Z8" s="4"/>
    </row>
    <row r="9" spans="2:27" ht="15" thickBot="1">
      <c r="B9">
        <v>10</v>
      </c>
      <c r="C9" s="3">
        <v>2975</v>
      </c>
      <c r="D9" s="3">
        <v>695</v>
      </c>
      <c r="E9" s="4">
        <f t="shared" si="1"/>
        <v>297.5</v>
      </c>
      <c r="F9" s="4">
        <f t="shared" si="0"/>
        <v>69.5</v>
      </c>
      <c r="G9" s="5">
        <f t="shared" si="2"/>
        <v>329.99487133145578</v>
      </c>
      <c r="H9" s="5">
        <f t="shared" si="3"/>
        <v>83.629294806179672</v>
      </c>
      <c r="O9">
        <f>O7+5</f>
        <v>10</v>
      </c>
      <c r="P9" s="5">
        <f t="shared" si="4"/>
        <v>329.99487133145578</v>
      </c>
      <c r="Q9" s="5">
        <f t="shared" si="5"/>
        <v>83.629294806179672</v>
      </c>
      <c r="S9" s="29">
        <f>S7-S8</f>
        <v>264.00807611592296</v>
      </c>
      <c r="T9" s="26" t="s">
        <v>198</v>
      </c>
      <c r="U9" s="26"/>
      <c r="V9" s="26"/>
      <c r="W9" s="26"/>
      <c r="X9" s="26"/>
      <c r="Y9" s="11"/>
      <c r="Z9" s="4"/>
    </row>
    <row r="10" spans="2:27">
      <c r="B10">
        <v>15</v>
      </c>
      <c r="C10" s="3">
        <v>3825</v>
      </c>
      <c r="D10" s="3">
        <v>1050</v>
      </c>
      <c r="E10" s="4">
        <f t="shared" si="1"/>
        <v>255</v>
      </c>
      <c r="F10" s="4">
        <f t="shared" si="0"/>
        <v>70</v>
      </c>
      <c r="G10" s="5">
        <f t="shared" si="2"/>
        <v>291.7616960312078</v>
      </c>
      <c r="H10" s="5">
        <f t="shared" si="3"/>
        <v>66.585173842298758</v>
      </c>
      <c r="P10" s="5"/>
      <c r="Q10" s="5"/>
      <c r="R10" s="89" t="s">
        <v>214</v>
      </c>
      <c r="S10" s="86">
        <f>S7+S8</f>
        <v>467.61371000981086</v>
      </c>
    </row>
    <row r="11" spans="2:27" ht="15" thickBot="1">
      <c r="B11">
        <v>20</v>
      </c>
      <c r="C11" s="3">
        <v>4525</v>
      </c>
      <c r="D11" s="3">
        <v>1050</v>
      </c>
      <c r="E11" s="4">
        <f t="shared" si="1"/>
        <v>226.25</v>
      </c>
      <c r="F11" s="4">
        <f t="shared" si="0"/>
        <v>52.5</v>
      </c>
      <c r="G11" s="5">
        <f t="shared" si="2"/>
        <v>267.35258068562928</v>
      </c>
      <c r="H11" s="5">
        <f t="shared" si="3"/>
        <v>56.643420902884216</v>
      </c>
      <c r="O11" s="13" t="s">
        <v>194</v>
      </c>
      <c r="P11" s="5"/>
      <c r="Q11" s="5"/>
      <c r="R11" s="94" t="s">
        <v>266</v>
      </c>
    </row>
    <row r="12" spans="2:27">
      <c r="B12">
        <v>25</v>
      </c>
      <c r="C12" s="3">
        <v>5550</v>
      </c>
      <c r="D12" s="3">
        <v>1400</v>
      </c>
      <c r="E12" s="4">
        <f t="shared" si="1"/>
        <v>222</v>
      </c>
      <c r="F12" s="4">
        <f t="shared" si="0"/>
        <v>56</v>
      </c>
      <c r="G12" s="5">
        <f t="shared" si="2"/>
        <v>249.83472959957308</v>
      </c>
      <c r="H12" s="5">
        <f t="shared" si="3"/>
        <v>49.966203888742903</v>
      </c>
      <c r="O12">
        <v>15</v>
      </c>
      <c r="P12" s="5">
        <f t="shared" ref="P12:P13" si="6">664.0598*O12^-0.3037</f>
        <v>291.7616960312078</v>
      </c>
      <c r="Q12" s="5">
        <f t="shared" ref="Q12:Q13" si="7" xml:space="preserve"> 305.1114*O12^-0.5621</f>
        <v>66.585173842298758</v>
      </c>
      <c r="R12" s="90" t="s">
        <v>263</v>
      </c>
      <c r="S12" s="95">
        <f>AVERAGE(P12:P13)</f>
        <v>279.55713835841857</v>
      </c>
      <c r="T12" s="24" t="s">
        <v>195</v>
      </c>
      <c r="U12" s="24"/>
      <c r="V12" s="24"/>
      <c r="W12" s="24"/>
      <c r="X12" s="24"/>
      <c r="Y12" s="9"/>
    </row>
    <row r="13" spans="2:27">
      <c r="B13">
        <v>30</v>
      </c>
      <c r="C13" s="3">
        <v>6950</v>
      </c>
      <c r="D13" s="3">
        <v>1400</v>
      </c>
      <c r="E13" s="4">
        <f t="shared" si="1"/>
        <v>231.66666666666666</v>
      </c>
      <c r="F13" s="4">
        <f t="shared" si="0"/>
        <v>46.666666666666664</v>
      </c>
      <c r="G13" s="5">
        <f t="shared" si="2"/>
        <v>236.37713539132838</v>
      </c>
      <c r="H13" s="5">
        <f t="shared" si="3"/>
        <v>45.099172922385392</v>
      </c>
      <c r="O13">
        <v>20</v>
      </c>
      <c r="P13" s="5">
        <f t="shared" si="6"/>
        <v>267.35258068562928</v>
      </c>
      <c r="Q13" s="5">
        <f t="shared" si="7"/>
        <v>56.643420902884216</v>
      </c>
      <c r="R13" s="90" t="s">
        <v>264</v>
      </c>
      <c r="S13" s="95">
        <f>AVERAGE(Q12:Q13)</f>
        <v>61.614297372591487</v>
      </c>
      <c r="T13" s="25" t="s">
        <v>199</v>
      </c>
      <c r="U13" s="25"/>
      <c r="V13" s="25"/>
      <c r="W13" s="25"/>
      <c r="X13" s="25"/>
      <c r="Y13" s="10"/>
    </row>
    <row r="14" spans="2:27" ht="15" thickBot="1">
      <c r="B14">
        <v>40</v>
      </c>
      <c r="C14" s="3">
        <v>8025</v>
      </c>
      <c r="D14" s="3">
        <v>1400</v>
      </c>
      <c r="E14" s="4">
        <f t="shared" si="1"/>
        <v>200.625</v>
      </c>
      <c r="F14" s="4">
        <f t="shared" si="0"/>
        <v>35</v>
      </c>
      <c r="G14" s="5">
        <f t="shared" si="2"/>
        <v>216.60155538439284</v>
      </c>
      <c r="H14" s="5">
        <f t="shared" si="3"/>
        <v>38.365469169832267</v>
      </c>
      <c r="P14" s="5"/>
      <c r="Q14" s="5"/>
      <c r="S14" s="29">
        <f>S12-S13</f>
        <v>217.94284098582708</v>
      </c>
      <c r="T14" s="26" t="s">
        <v>200</v>
      </c>
      <c r="U14" s="26"/>
      <c r="V14" s="26"/>
      <c r="W14" s="26"/>
      <c r="X14" s="26"/>
      <c r="Y14" s="11"/>
    </row>
    <row r="15" spans="2:27">
      <c r="B15">
        <v>50</v>
      </c>
      <c r="C15" s="3">
        <v>10300</v>
      </c>
      <c r="D15" s="3">
        <v>1750</v>
      </c>
      <c r="E15" s="4">
        <f t="shared" si="1"/>
        <v>206</v>
      </c>
      <c r="F15" s="4">
        <f t="shared" si="0"/>
        <v>35</v>
      </c>
      <c r="G15" s="5">
        <f t="shared" si="2"/>
        <v>202.40908421953193</v>
      </c>
      <c r="H15" s="5">
        <f t="shared" si="3"/>
        <v>33.842886327677789</v>
      </c>
      <c r="P15" s="5"/>
      <c r="Q15" s="5"/>
      <c r="R15" s="89" t="s">
        <v>214</v>
      </c>
      <c r="S15" s="86">
        <f>S12+S13</f>
        <v>341.17143573101004</v>
      </c>
    </row>
    <row r="16" spans="2:27">
      <c r="B16">
        <v>60</v>
      </c>
      <c r="C16" s="3">
        <v>12400</v>
      </c>
      <c r="D16" s="3">
        <v>2075</v>
      </c>
      <c r="E16" s="4">
        <f t="shared" si="1"/>
        <v>206.66666666666666</v>
      </c>
      <c r="F16" s="4">
        <f t="shared" si="0"/>
        <v>34.583333333333336</v>
      </c>
      <c r="G16" s="5">
        <f t="shared" si="2"/>
        <v>191.50611919199261</v>
      </c>
      <c r="H16" s="5">
        <f t="shared" si="3"/>
        <v>30.546370624493992</v>
      </c>
      <c r="P16" s="5"/>
      <c r="Q16" s="5"/>
    </row>
    <row r="17" spans="2:26">
      <c r="B17">
        <v>75</v>
      </c>
      <c r="C17" s="3">
        <v>14400</v>
      </c>
      <c r="D17" s="3">
        <v>2075</v>
      </c>
      <c r="E17" s="4">
        <f t="shared" si="1"/>
        <v>192</v>
      </c>
      <c r="F17" s="4">
        <f t="shared" si="0"/>
        <v>27.666666666666668</v>
      </c>
      <c r="G17" s="5">
        <f t="shared" si="2"/>
        <v>178.95798642487853</v>
      </c>
      <c r="H17" s="5">
        <f t="shared" si="3"/>
        <v>26.945515619570521</v>
      </c>
      <c r="O17" s="45" t="s">
        <v>79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2:26" ht="43.8" thickBot="1">
      <c r="B18">
        <v>100</v>
      </c>
      <c r="C18" s="3">
        <v>18500</v>
      </c>
      <c r="D18" s="3">
        <v>2325</v>
      </c>
      <c r="E18" s="4">
        <f t="shared" si="1"/>
        <v>185</v>
      </c>
      <c r="F18" s="4">
        <f t="shared" si="0"/>
        <v>23.25</v>
      </c>
      <c r="G18" s="5">
        <f t="shared" si="2"/>
        <v>163.98615773016834</v>
      </c>
      <c r="H18" s="5">
        <f t="shared" si="3"/>
        <v>22.922312800435879</v>
      </c>
      <c r="O18" s="1" t="s">
        <v>0</v>
      </c>
      <c r="P18" s="2" t="s">
        <v>3</v>
      </c>
      <c r="Q18" s="2" t="s">
        <v>68</v>
      </c>
      <c r="S18" s="1"/>
      <c r="T18" s="1"/>
      <c r="U18" s="1"/>
      <c r="V18" s="1"/>
      <c r="W18" s="1"/>
      <c r="X18" s="1"/>
      <c r="Y18" s="1"/>
      <c r="Z18" s="1"/>
    </row>
    <row r="19" spans="2:26">
      <c r="B19">
        <v>125</v>
      </c>
      <c r="C19" s="3">
        <v>20100</v>
      </c>
      <c r="D19" s="3">
        <v>2325</v>
      </c>
      <c r="E19" s="4">
        <f t="shared" si="1"/>
        <v>160.80000000000001</v>
      </c>
      <c r="F19" s="4">
        <f t="shared" si="0"/>
        <v>18.600000000000001</v>
      </c>
      <c r="G19" s="5">
        <f t="shared" si="2"/>
        <v>153.24122650891525</v>
      </c>
      <c r="H19" s="5">
        <f t="shared" si="3"/>
        <v>20.220193920699462</v>
      </c>
      <c r="O19">
        <v>50</v>
      </c>
      <c r="P19" s="5">
        <f t="shared" ref="P19:P37" si="8">664.0598*O19^-0.3037</f>
        <v>202.40908421953193</v>
      </c>
      <c r="Q19" s="5">
        <f t="shared" ref="Q19:Q37" si="9" xml:space="preserve"> 305.1114*O19^-0.5621</f>
        <v>33.842886327677789</v>
      </c>
      <c r="S19" s="27">
        <f>AVERAGE(P19:P37)</f>
        <v>142.69048637538853</v>
      </c>
      <c r="T19" s="24" t="s">
        <v>82</v>
      </c>
      <c r="U19" s="24"/>
      <c r="V19" s="24"/>
      <c r="W19" s="24"/>
      <c r="X19" s="24"/>
      <c r="Y19" s="9"/>
    </row>
    <row r="20" spans="2:26">
      <c r="B20">
        <v>150</v>
      </c>
      <c r="C20" s="3"/>
      <c r="D20" s="3"/>
      <c r="E20" s="4"/>
      <c r="F20" s="4"/>
      <c r="G20" s="5">
        <f t="shared" si="2"/>
        <v>144.98673664821413</v>
      </c>
      <c r="H20" s="5">
        <f t="shared" si="3"/>
        <v>18.250616440350406</v>
      </c>
      <c r="N20" t="s">
        <v>249</v>
      </c>
      <c r="O20">
        <f>O19+25</f>
        <v>75</v>
      </c>
      <c r="P20" s="5">
        <f t="shared" si="8"/>
        <v>178.95798642487853</v>
      </c>
      <c r="Q20" s="5">
        <f t="shared" si="9"/>
        <v>26.945515619570521</v>
      </c>
      <c r="S20" s="28">
        <f>AVERAGE(Q19:Q37)</f>
        <v>18.757872364016329</v>
      </c>
      <c r="T20" s="25" t="s">
        <v>83</v>
      </c>
      <c r="U20" s="25"/>
      <c r="V20" s="25"/>
      <c r="W20" s="25"/>
      <c r="X20" s="25"/>
      <c r="Y20" s="10"/>
    </row>
    <row r="21" spans="2:26" ht="15" thickBot="1">
      <c r="B21">
        <v>200</v>
      </c>
      <c r="C21" s="3"/>
      <c r="D21" s="3"/>
      <c r="E21" s="4"/>
      <c r="F21" s="4"/>
      <c r="G21" s="5">
        <f t="shared" si="2"/>
        <v>132.85698134940091</v>
      </c>
      <c r="H21" s="5">
        <f t="shared" si="3"/>
        <v>15.525638653678049</v>
      </c>
      <c r="O21">
        <f t="shared" ref="O21:O37" si="10">O20+25</f>
        <v>100</v>
      </c>
      <c r="P21" s="5">
        <f t="shared" si="8"/>
        <v>163.98615773016834</v>
      </c>
      <c r="Q21" s="5">
        <f t="shared" si="9"/>
        <v>22.922312800435879</v>
      </c>
      <c r="S21" s="29">
        <f>S19-S20</f>
        <v>123.93261401137221</v>
      </c>
      <c r="T21" s="26" t="s">
        <v>84</v>
      </c>
      <c r="U21" s="26"/>
      <c r="V21" s="26"/>
      <c r="W21" s="26"/>
      <c r="X21" s="26"/>
      <c r="Y21" s="11"/>
    </row>
    <row r="22" spans="2:26">
      <c r="B22">
        <f>B21+50</f>
        <v>250</v>
      </c>
      <c r="G22" s="5">
        <f t="shared" si="2"/>
        <v>124.15173972033872</v>
      </c>
      <c r="H22" s="5">
        <f t="shared" si="3"/>
        <v>13.695451547721136</v>
      </c>
      <c r="J22" s="3"/>
      <c r="K22" s="3"/>
      <c r="L22" s="3"/>
      <c r="M22" s="3"/>
      <c r="O22">
        <f t="shared" si="10"/>
        <v>125</v>
      </c>
      <c r="P22" s="5">
        <f t="shared" si="8"/>
        <v>153.24122650891525</v>
      </c>
      <c r="Q22" s="5">
        <f t="shared" si="9"/>
        <v>20.220193920699462</v>
      </c>
    </row>
    <row r="23" spans="2:26">
      <c r="B23">
        <f t="shared" ref="B23:B34" si="11">B22+50</f>
        <v>300</v>
      </c>
      <c r="G23" s="5">
        <f t="shared" si="2"/>
        <v>117.46418376652151</v>
      </c>
      <c r="H23" s="5">
        <f t="shared" si="3"/>
        <v>12.361426114661873</v>
      </c>
      <c r="J23" s="3"/>
      <c r="K23" s="3"/>
      <c r="L23" s="3"/>
      <c r="M23" s="3"/>
      <c r="O23">
        <f t="shared" si="10"/>
        <v>150</v>
      </c>
      <c r="P23" s="5">
        <f t="shared" si="8"/>
        <v>144.98673664821413</v>
      </c>
      <c r="Q23" s="5">
        <f t="shared" si="9"/>
        <v>18.250616440350406</v>
      </c>
    </row>
    <row r="24" spans="2:26">
      <c r="B24">
        <f t="shared" si="11"/>
        <v>350</v>
      </c>
      <c r="G24" s="5">
        <f t="shared" si="2"/>
        <v>112.09176953537234</v>
      </c>
      <c r="H24" s="5">
        <f t="shared" si="3"/>
        <v>11.335424455277918</v>
      </c>
      <c r="J24" s="3"/>
      <c r="K24" s="3"/>
      <c r="L24" s="3"/>
      <c r="M24" s="3"/>
      <c r="O24">
        <f t="shared" si="10"/>
        <v>175</v>
      </c>
      <c r="P24" s="5">
        <f t="shared" si="8"/>
        <v>138.35553399290097</v>
      </c>
      <c r="Q24" s="5">
        <f t="shared" si="9"/>
        <v>16.735810415633743</v>
      </c>
    </row>
    <row r="25" spans="2:26">
      <c r="B25">
        <f t="shared" si="11"/>
        <v>400</v>
      </c>
      <c r="G25" s="5">
        <f t="shared" si="2"/>
        <v>107.63699654649464</v>
      </c>
      <c r="H25" s="5">
        <f t="shared" si="3"/>
        <v>10.515756315828581</v>
      </c>
      <c r="J25" s="3"/>
      <c r="K25" s="3"/>
      <c r="L25" s="3"/>
      <c r="M25" s="3"/>
      <c r="O25">
        <f t="shared" si="10"/>
        <v>200</v>
      </c>
      <c r="P25" s="5">
        <f t="shared" si="8"/>
        <v>132.85698134940091</v>
      </c>
      <c r="Q25" s="5">
        <f t="shared" si="9"/>
        <v>15.525638653678049</v>
      </c>
    </row>
    <row r="26" spans="2:26">
      <c r="B26">
        <f t="shared" si="11"/>
        <v>450</v>
      </c>
      <c r="G26" s="5">
        <f t="shared" si="2"/>
        <v>103.85479428926791</v>
      </c>
      <c r="H26" s="5">
        <f t="shared" si="3"/>
        <v>9.8420978999176203</v>
      </c>
      <c r="J26" s="3"/>
      <c r="K26" s="3"/>
      <c r="L26" s="3"/>
      <c r="M26" s="3"/>
      <c r="O26">
        <f t="shared" si="10"/>
        <v>225</v>
      </c>
      <c r="P26" s="5">
        <f t="shared" si="8"/>
        <v>128.18858673722892</v>
      </c>
      <c r="Q26" s="5">
        <f t="shared" si="9"/>
        <v>14.531038091690927</v>
      </c>
    </row>
    <row r="27" spans="2:26">
      <c r="B27">
        <f t="shared" si="11"/>
        <v>500</v>
      </c>
      <c r="G27" s="5">
        <f t="shared" si="2"/>
        <v>100.58425416407114</v>
      </c>
      <c r="H27" s="5">
        <f t="shared" si="3"/>
        <v>9.2761421493572342</v>
      </c>
      <c r="J27" s="3"/>
      <c r="K27" s="3"/>
      <c r="L27" s="3"/>
      <c r="M27" s="3"/>
      <c r="O27">
        <f t="shared" si="10"/>
        <v>250</v>
      </c>
      <c r="P27" s="5">
        <f t="shared" si="8"/>
        <v>124.15173972033872</v>
      </c>
      <c r="Q27" s="5">
        <f t="shared" si="9"/>
        <v>13.695451547721136</v>
      </c>
    </row>
    <row r="28" spans="2:26">
      <c r="B28">
        <f t="shared" si="11"/>
        <v>550</v>
      </c>
      <c r="G28" s="5">
        <f t="shared" si="2"/>
        <v>97.714506157727186</v>
      </c>
      <c r="H28" s="5">
        <f t="shared" si="3"/>
        <v>8.7922609023437328</v>
      </c>
      <c r="J28" s="3"/>
      <c r="K28" s="3"/>
      <c r="L28" s="3"/>
      <c r="M28" s="3"/>
      <c r="O28">
        <f t="shared" si="10"/>
        <v>275</v>
      </c>
      <c r="P28" s="5">
        <f t="shared" si="8"/>
        <v>120.6095927858353</v>
      </c>
      <c r="Q28" s="5">
        <f t="shared" si="9"/>
        <v>12.981041174677904</v>
      </c>
      <c r="U28" s="6"/>
    </row>
    <row r="29" spans="2:26">
      <c r="B29">
        <f t="shared" si="11"/>
        <v>600</v>
      </c>
      <c r="G29" s="5">
        <f t="shared" si="2"/>
        <v>95.166184072500769</v>
      </c>
      <c r="H29" s="5">
        <f t="shared" si="3"/>
        <v>8.3725859938849698</v>
      </c>
      <c r="J29" s="3"/>
      <c r="K29" s="3"/>
      <c r="L29" s="3"/>
      <c r="M29" s="3"/>
      <c r="O29">
        <f t="shared" si="10"/>
        <v>300</v>
      </c>
      <c r="P29" s="5">
        <f t="shared" si="8"/>
        <v>117.46418376652151</v>
      </c>
      <c r="Q29" s="5">
        <f t="shared" si="9"/>
        <v>12.361426114661873</v>
      </c>
      <c r="U29" s="6"/>
    </row>
    <row r="30" spans="2:26">
      <c r="B30">
        <f t="shared" si="11"/>
        <v>650</v>
      </c>
      <c r="G30" s="5">
        <f t="shared" si="2"/>
        <v>92.880683753774818</v>
      </c>
      <c r="H30" s="5">
        <f t="shared" si="3"/>
        <v>8.0042351123185629</v>
      </c>
      <c r="J30" s="3"/>
      <c r="K30" s="3"/>
      <c r="L30" s="3"/>
      <c r="M30" s="3"/>
      <c r="O30">
        <f t="shared" si="10"/>
        <v>325</v>
      </c>
      <c r="P30" s="5">
        <f t="shared" si="8"/>
        <v>114.64317720779742</v>
      </c>
      <c r="Q30" s="5">
        <f t="shared" si="9"/>
        <v>11.817586707090626</v>
      </c>
      <c r="U30" s="6"/>
    </row>
    <row r="31" spans="2:26">
      <c r="B31">
        <f t="shared" si="11"/>
        <v>700</v>
      </c>
      <c r="G31" s="5">
        <f t="shared" si="2"/>
        <v>90.813604884179838</v>
      </c>
      <c r="H31" s="5">
        <f t="shared" si="3"/>
        <v>7.677659126759834</v>
      </c>
      <c r="J31" s="3"/>
      <c r="K31" s="3"/>
      <c r="L31" s="3"/>
      <c r="M31" s="3"/>
      <c r="O31">
        <f t="shared" si="10"/>
        <v>350</v>
      </c>
      <c r="P31" s="5">
        <f t="shared" si="8"/>
        <v>112.09176953537234</v>
      </c>
      <c r="Q31" s="5">
        <f t="shared" si="9"/>
        <v>11.335424455277918</v>
      </c>
      <c r="U31" s="6"/>
    </row>
    <row r="32" spans="2:26">
      <c r="B32">
        <f t="shared" si="11"/>
        <v>750</v>
      </c>
      <c r="G32" s="5">
        <f t="shared" si="2"/>
        <v>88.930571770816741</v>
      </c>
      <c r="H32" s="5">
        <f t="shared" si="3"/>
        <v>7.3856121713367067</v>
      </c>
      <c r="J32" s="3"/>
      <c r="K32" s="3"/>
      <c r="L32" s="3"/>
      <c r="M32" s="3"/>
      <c r="O32">
        <f t="shared" si="10"/>
        <v>375</v>
      </c>
      <c r="P32" s="5">
        <f t="shared" si="8"/>
        <v>109.76753062821997</v>
      </c>
      <c r="Q32" s="5">
        <f t="shared" si="9"/>
        <v>10.90424144155771</v>
      </c>
      <c r="U32" s="6"/>
    </row>
    <row r="33" spans="2:26">
      <c r="B33">
        <f t="shared" si="11"/>
        <v>800</v>
      </c>
      <c r="G33" s="5">
        <f t="shared" si="2"/>
        <v>87.20447286906797</v>
      </c>
      <c r="H33" s="5">
        <f t="shared" si="3"/>
        <v>7.1224851589401013</v>
      </c>
      <c r="J33" s="3"/>
      <c r="K33" s="3"/>
      <c r="L33" s="3"/>
      <c r="M33" s="3"/>
      <c r="O33">
        <f t="shared" si="10"/>
        <v>400</v>
      </c>
      <c r="P33" s="5">
        <f t="shared" si="8"/>
        <v>107.63699654649464</v>
      </c>
      <c r="Q33" s="5">
        <f t="shared" si="9"/>
        <v>10.515756315828581</v>
      </c>
      <c r="U33" s="6"/>
    </row>
    <row r="34" spans="2:26">
      <c r="B34">
        <f t="shared" si="11"/>
        <v>850</v>
      </c>
      <c r="G34" s="5">
        <f t="shared" si="2"/>
        <v>85.613580933108594</v>
      </c>
      <c r="H34" s="5">
        <f t="shared" si="3"/>
        <v>6.8838604312649938</v>
      </c>
      <c r="J34" s="3"/>
      <c r="K34" s="3"/>
      <c r="L34" s="3"/>
      <c r="M34" s="3"/>
      <c r="O34">
        <f t="shared" si="10"/>
        <v>425</v>
      </c>
      <c r="P34" s="5">
        <f t="shared" si="8"/>
        <v>105.67334922219044</v>
      </c>
      <c r="Q34" s="5">
        <f t="shared" si="9"/>
        <v>10.163446773419402</v>
      </c>
      <c r="U34" s="6"/>
    </row>
    <row r="35" spans="2:26">
      <c r="O35">
        <f>O34+25</f>
        <v>450</v>
      </c>
      <c r="P35" s="5">
        <f t="shared" si="8"/>
        <v>103.85479428926791</v>
      </c>
      <c r="Q35" s="5">
        <f xml:space="preserve"> 305.1114*O35^-0.5621</f>
        <v>9.8420978999176203</v>
      </c>
      <c r="T35" s="6"/>
    </row>
    <row r="36" spans="2:26">
      <c r="O36">
        <f>N35+25</f>
        <v>25</v>
      </c>
      <c r="P36" s="5">
        <f t="shared" si="8"/>
        <v>249.83472959957308</v>
      </c>
      <c r="Q36" s="5">
        <f t="shared" si="9"/>
        <v>49.966203888742903</v>
      </c>
      <c r="U36" s="6"/>
    </row>
    <row r="37" spans="2:26">
      <c r="O37">
        <f t="shared" si="10"/>
        <v>50</v>
      </c>
      <c r="P37" s="5">
        <f t="shared" si="8"/>
        <v>202.40908421953193</v>
      </c>
      <c r="Q37" s="5">
        <f t="shared" si="9"/>
        <v>33.842886327677789</v>
      </c>
      <c r="U37" s="6"/>
    </row>
    <row r="38" spans="2:26">
      <c r="P38" s="5"/>
      <c r="Q38" s="5"/>
    </row>
    <row r="39" spans="2:26" ht="15" thickBot="1">
      <c r="O39" s="13" t="s">
        <v>85</v>
      </c>
    </row>
    <row r="40" spans="2:26">
      <c r="O40">
        <v>15</v>
      </c>
      <c r="P40" s="5">
        <f t="shared" ref="P40:P47" si="12">664.0598*O40^-0.3037</f>
        <v>291.7616960312078</v>
      </c>
      <c r="Q40" s="5">
        <f t="shared" ref="Q40:Q47" si="13" xml:space="preserve"> 305.1114*O40^-0.5621</f>
        <v>66.585173842298758</v>
      </c>
      <c r="S40" s="27">
        <f>AVERAGE(P40:P47)</f>
        <v>237.36166610356918</v>
      </c>
      <c r="T40" s="24" t="s">
        <v>86</v>
      </c>
      <c r="U40" s="24"/>
      <c r="V40" s="24"/>
      <c r="W40" s="24"/>
      <c r="X40" s="24"/>
      <c r="Y40" s="9"/>
      <c r="Z40" s="4"/>
    </row>
    <row r="41" spans="2:26">
      <c r="O41">
        <f>O40+5</f>
        <v>20</v>
      </c>
      <c r="P41" s="5">
        <f t="shared" si="12"/>
        <v>267.35258068562928</v>
      </c>
      <c r="Q41" s="5">
        <f t="shared" si="13"/>
        <v>56.643420902884216</v>
      </c>
      <c r="S41" s="28">
        <f>AVERAGE(Q40:Q47)</f>
        <v>45.970745533414409</v>
      </c>
      <c r="T41" s="25" t="s">
        <v>87</v>
      </c>
      <c r="U41" s="25"/>
      <c r="V41" s="25"/>
      <c r="W41" s="25"/>
      <c r="X41" s="25"/>
      <c r="Y41" s="10"/>
      <c r="Z41" s="4"/>
    </row>
    <row r="42" spans="2:26" ht="15" thickBot="1">
      <c r="O42">
        <f t="shared" ref="O42:O47" si="14">O41+5</f>
        <v>25</v>
      </c>
      <c r="P42" s="5">
        <f t="shared" si="12"/>
        <v>249.83472959957308</v>
      </c>
      <c r="Q42" s="5">
        <f t="shared" si="13"/>
        <v>49.966203888742903</v>
      </c>
      <c r="S42" s="29">
        <f>S40-S41</f>
        <v>191.39092057015478</v>
      </c>
      <c r="T42" s="26" t="s">
        <v>88</v>
      </c>
      <c r="U42" s="26"/>
      <c r="V42" s="26"/>
      <c r="W42" s="26"/>
      <c r="X42" s="26"/>
      <c r="Y42" s="11"/>
      <c r="Z42" s="4"/>
    </row>
    <row r="43" spans="2:26">
      <c r="O43">
        <f t="shared" si="14"/>
        <v>30</v>
      </c>
      <c r="P43" s="5">
        <f t="shared" si="12"/>
        <v>236.37713539132838</v>
      </c>
      <c r="Q43" s="5">
        <f t="shared" si="13"/>
        <v>45.099172922385392</v>
      </c>
    </row>
    <row r="44" spans="2:26">
      <c r="O44">
        <f t="shared" si="14"/>
        <v>35</v>
      </c>
      <c r="P44" s="5">
        <f t="shared" si="12"/>
        <v>225.5660451902607</v>
      </c>
      <c r="Q44" s="5">
        <f t="shared" si="13"/>
        <v>41.355929559847446</v>
      </c>
    </row>
    <row r="45" spans="2:26">
      <c r="O45">
        <f t="shared" si="14"/>
        <v>40</v>
      </c>
      <c r="P45" s="5">
        <f t="shared" si="12"/>
        <v>216.60155538439284</v>
      </c>
      <c r="Q45" s="5">
        <f t="shared" si="13"/>
        <v>38.365469169832267</v>
      </c>
    </row>
    <row r="46" spans="2:26">
      <c r="O46">
        <f t="shared" si="14"/>
        <v>45</v>
      </c>
      <c r="P46" s="5">
        <f t="shared" si="12"/>
        <v>208.99050232662941</v>
      </c>
      <c r="Q46" s="5">
        <f t="shared" si="13"/>
        <v>35.907707653646582</v>
      </c>
    </row>
    <row r="47" spans="2:26">
      <c r="O47">
        <f t="shared" si="14"/>
        <v>50</v>
      </c>
      <c r="P47" s="5">
        <f t="shared" si="12"/>
        <v>202.40908421953193</v>
      </c>
      <c r="Q47" s="5">
        <f t="shared" si="13"/>
        <v>33.842886327677789</v>
      </c>
    </row>
  </sheetData>
  <mergeCells count="3">
    <mergeCell ref="B2:H2"/>
    <mergeCell ref="B3:H3"/>
    <mergeCell ref="B4:H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3:T66"/>
  <sheetViews>
    <sheetView tabSelected="1" zoomScale="70" zoomScaleNormal="70" workbookViewId="0">
      <selection activeCell="C8" sqref="C8"/>
    </sheetView>
  </sheetViews>
  <sheetFormatPr defaultRowHeight="14.4"/>
  <cols>
    <col min="1" max="1" width="4.44140625" customWidth="1"/>
    <col min="2" max="2" width="23.21875" bestFit="1" customWidth="1"/>
    <col min="3" max="3" width="16.5546875" bestFit="1" customWidth="1"/>
    <col min="4" max="4" width="18.5546875" customWidth="1"/>
    <col min="5" max="5" width="24.44140625" bestFit="1" customWidth="1"/>
    <col min="6" max="6" width="10.5546875" bestFit="1" customWidth="1"/>
    <col min="7" max="7" width="13.5546875" bestFit="1" customWidth="1"/>
    <col min="8" max="8" width="22.44140625" bestFit="1" customWidth="1"/>
    <col min="9" max="10" width="22.44140625" customWidth="1"/>
    <col min="11" max="11" width="15.5546875" customWidth="1"/>
    <col min="12" max="12" width="21.5546875" bestFit="1" customWidth="1"/>
    <col min="13" max="13" width="15.5546875" customWidth="1"/>
    <col min="14" max="14" width="16.44140625" customWidth="1"/>
    <col min="15" max="15" width="21.44140625" customWidth="1"/>
    <col min="16" max="16" width="12.5546875" bestFit="1" customWidth="1"/>
    <col min="17" max="17" width="12.44140625" bestFit="1" customWidth="1"/>
    <col min="18" max="20" width="10.5546875" customWidth="1"/>
    <col min="22" max="22" width="15" bestFit="1" customWidth="1"/>
    <col min="23" max="24" width="11.5546875" bestFit="1" customWidth="1"/>
    <col min="25" max="25" width="17.5546875" bestFit="1" customWidth="1"/>
  </cols>
  <sheetData>
    <row r="3" spans="2:20" ht="30.6" customHeight="1">
      <c r="L3" s="100"/>
      <c r="M3" s="100"/>
      <c r="N3" s="100"/>
      <c r="O3" s="100"/>
      <c r="P3" s="101"/>
      <c r="Q3" s="65"/>
      <c r="R3" s="65"/>
      <c r="S3" s="65"/>
      <c r="T3" s="65"/>
    </row>
    <row r="4" spans="2:20">
      <c r="B4" s="55" t="s">
        <v>234</v>
      </c>
      <c r="C4" s="87" t="s">
        <v>233</v>
      </c>
      <c r="D4" s="87" t="s">
        <v>232</v>
      </c>
      <c r="E4" s="55" t="s">
        <v>231</v>
      </c>
      <c r="F4" s="60" t="s">
        <v>217</v>
      </c>
      <c r="G4" s="87" t="s">
        <v>215</v>
      </c>
      <c r="H4" s="63" t="s">
        <v>230</v>
      </c>
      <c r="I4" s="63" t="s">
        <v>229</v>
      </c>
      <c r="J4" s="63" t="s">
        <v>228</v>
      </c>
      <c r="S4" s="64"/>
    </row>
    <row r="5" spans="2:20">
      <c r="B5" s="55">
        <v>5</v>
      </c>
      <c r="C5" s="56">
        <f>(553.91*B5 + 2984.6 )/B5</f>
        <v>1150.83</v>
      </c>
      <c r="D5" s="56">
        <f>(428.17*B5 + 1330)/B5</f>
        <v>694.17</v>
      </c>
      <c r="E5" s="57">
        <f>+C5-D5</f>
        <v>456.65999999999997</v>
      </c>
      <c r="F5" s="56">
        <v>905</v>
      </c>
      <c r="G5" s="56">
        <f>F5/B5</f>
        <v>181</v>
      </c>
      <c r="H5" s="62"/>
      <c r="I5" s="62"/>
      <c r="J5" s="67"/>
      <c r="S5" s="62"/>
      <c r="T5" s="6"/>
    </row>
    <row r="6" spans="2:20">
      <c r="B6" s="55">
        <v>7.5</v>
      </c>
      <c r="C6" s="56">
        <f>(553.91*B6 + 2984.6 )/B6</f>
        <v>951.85666666666657</v>
      </c>
      <c r="D6" s="56">
        <f>(428.17*B6 + 1330)/B6</f>
        <v>605.50333333333333</v>
      </c>
      <c r="E6" s="57">
        <f>+C6-D6</f>
        <v>346.35333333333324</v>
      </c>
      <c r="F6" s="56">
        <v>1125</v>
      </c>
      <c r="G6" s="56">
        <f>F6/B6</f>
        <v>150</v>
      </c>
      <c r="H6" s="62"/>
      <c r="I6" s="62"/>
      <c r="J6" s="67"/>
      <c r="S6" s="62"/>
      <c r="T6" s="6"/>
    </row>
    <row r="7" spans="2:20">
      <c r="B7" s="55">
        <v>10</v>
      </c>
      <c r="C7" s="56">
        <f>(553.91*B7 + 2984.6 )/B7</f>
        <v>852.36999999999989</v>
      </c>
      <c r="D7" s="56">
        <f>(428.17*B7 + 1330)/B7</f>
        <v>561.16999999999996</v>
      </c>
      <c r="E7" s="57">
        <f>+C7-D7</f>
        <v>291.19999999999993</v>
      </c>
      <c r="F7" s="56">
        <v>1300</v>
      </c>
      <c r="G7" s="56">
        <f>F7/B7</f>
        <v>130</v>
      </c>
      <c r="H7" s="62"/>
      <c r="I7" s="62"/>
      <c r="J7" s="67"/>
      <c r="S7" s="62"/>
      <c r="T7" s="6"/>
    </row>
    <row r="8" spans="2:20">
      <c r="B8" s="55">
        <v>15</v>
      </c>
      <c r="C8" s="56">
        <f>(553.91*B8 + 2984.6 )/B8</f>
        <v>752.88333333333333</v>
      </c>
      <c r="D8" s="56">
        <f>(428.17*B8 + 1330)/B8</f>
        <v>516.8366666666667</v>
      </c>
      <c r="E8" s="57">
        <f>+C8-D8</f>
        <v>236.04666666666662</v>
      </c>
      <c r="F8" s="56">
        <v>1775</v>
      </c>
      <c r="G8" s="56">
        <f>F8/B8</f>
        <v>118.33333333333333</v>
      </c>
      <c r="H8" s="62"/>
      <c r="I8" s="62"/>
      <c r="J8" s="67"/>
      <c r="S8" s="62"/>
      <c r="T8" s="6"/>
    </row>
    <row r="9" spans="2:20">
      <c r="B9" s="55">
        <v>20</v>
      </c>
      <c r="C9" s="56">
        <f>(553.91*B9 + 2984.6 )/B9</f>
        <v>703.14</v>
      </c>
      <c r="D9" s="56">
        <f>(428.17*B9 + 1330)/B9</f>
        <v>494.66999999999996</v>
      </c>
      <c r="E9" s="57">
        <f>+C9-D9</f>
        <v>208.47000000000003</v>
      </c>
      <c r="F9" s="56">
        <v>2025</v>
      </c>
      <c r="G9" s="56">
        <f>F9/B9</f>
        <v>101.25</v>
      </c>
      <c r="H9" s="62"/>
      <c r="I9" s="62"/>
      <c r="J9" s="67"/>
      <c r="S9" s="62"/>
      <c r="T9" s="6"/>
    </row>
    <row r="10" spans="2:20">
      <c r="B10" s="89" t="s">
        <v>227</v>
      </c>
      <c r="C10" s="85">
        <f>ROUND((AVERAGE(C5:C7)),2)</f>
        <v>985.02</v>
      </c>
      <c r="D10" s="85">
        <f>ROUND((AVERAGE(D5:D7)),2)</f>
        <v>620.28</v>
      </c>
      <c r="E10" s="57">
        <f>ROUND((AVERAGE(E5:E7)),2)</f>
        <v>364.74</v>
      </c>
      <c r="F10" s="55"/>
      <c r="G10" s="88">
        <f>ROUND((AVERAGE(G5:G7)),2)</f>
        <v>153.66999999999999</v>
      </c>
      <c r="H10" s="66">
        <f>+D10+G10</f>
        <v>773.94999999999993</v>
      </c>
      <c r="I10" s="56">
        <f>+C10+G10</f>
        <v>1138.69</v>
      </c>
      <c r="J10" s="56">
        <f>I10-H10</f>
        <v>364.74000000000012</v>
      </c>
      <c r="S10" s="62"/>
    </row>
    <row r="11" spans="2:20">
      <c r="B11" s="90" t="s">
        <v>226</v>
      </c>
      <c r="C11" s="85">
        <f>ROUND((AVERAGE(C8:C9)),2)</f>
        <v>728.01</v>
      </c>
      <c r="D11" s="85">
        <f>ROUND((AVERAGE(D8:D9)),2)</f>
        <v>505.75</v>
      </c>
      <c r="E11" s="57">
        <f>ROUND((AVERAGE(E8:E9)),2)</f>
        <v>222.26</v>
      </c>
      <c r="F11" s="55"/>
      <c r="G11" s="88">
        <f>ROUND((AVERAGE(G8:G9)),2)</f>
        <v>109.79</v>
      </c>
      <c r="H11" s="66">
        <f>+D11+G11</f>
        <v>615.54</v>
      </c>
      <c r="I11" s="56">
        <f>+C11+G11</f>
        <v>837.8</v>
      </c>
      <c r="J11" s="56">
        <f>I11-H11</f>
        <v>222.26</v>
      </c>
      <c r="S11" s="62"/>
    </row>
    <row r="14" spans="2:20">
      <c r="B14" s="55" t="s">
        <v>0</v>
      </c>
      <c r="C14" s="63" t="s">
        <v>222</v>
      </c>
      <c r="D14" s="63" t="s">
        <v>221</v>
      </c>
    </row>
    <row r="15" spans="2:20">
      <c r="B15" s="55">
        <v>7.5</v>
      </c>
      <c r="C15" s="56">
        <f t="shared" ref="C15:D17" si="0">O33</f>
        <v>7863</v>
      </c>
      <c r="D15" s="56">
        <f t="shared" si="0"/>
        <v>5200</v>
      </c>
    </row>
    <row r="16" spans="2:20">
      <c r="B16" s="55">
        <v>10</v>
      </c>
      <c r="C16" s="56">
        <f t="shared" si="0"/>
        <v>8600</v>
      </c>
      <c r="D16" s="56">
        <f t="shared" si="0"/>
        <v>5000</v>
      </c>
    </row>
    <row r="17" spans="2:18">
      <c r="B17" s="55">
        <v>10</v>
      </c>
      <c r="C17" s="56">
        <f t="shared" si="0"/>
        <v>8241</v>
      </c>
      <c r="D17" s="56">
        <f t="shared" si="0"/>
        <v>6000</v>
      </c>
    </row>
    <row r="18" spans="2:18">
      <c r="B18" s="55">
        <v>15</v>
      </c>
      <c r="C18" s="56">
        <f t="shared" ref="C18:D22" si="1">O37</f>
        <v>9154</v>
      </c>
      <c r="D18" s="56">
        <f t="shared" si="1"/>
        <v>6450</v>
      </c>
    </row>
    <row r="19" spans="2:18">
      <c r="B19" s="55">
        <v>15</v>
      </c>
      <c r="C19" s="57">
        <f t="shared" si="1"/>
        <v>12035</v>
      </c>
      <c r="D19" s="57">
        <f t="shared" si="1"/>
        <v>7855</v>
      </c>
    </row>
    <row r="20" spans="2:18" ht="15" thickBot="1">
      <c r="B20" s="55">
        <v>20</v>
      </c>
      <c r="C20" s="57">
        <f t="shared" si="1"/>
        <v>15000</v>
      </c>
      <c r="D20" s="57">
        <f t="shared" si="1"/>
        <v>11360</v>
      </c>
      <c r="M20" s="108" t="s">
        <v>219</v>
      </c>
      <c r="N20" s="108"/>
      <c r="O20" s="108"/>
      <c r="P20" s="108"/>
      <c r="Q20" s="108"/>
      <c r="R20" s="108"/>
    </row>
    <row r="21" spans="2:18" ht="15" thickBot="1">
      <c r="B21" s="55">
        <v>20</v>
      </c>
      <c r="C21" s="57">
        <f t="shared" si="1"/>
        <v>14148</v>
      </c>
      <c r="D21" s="57">
        <f t="shared" si="1"/>
        <v>8747</v>
      </c>
      <c r="F21" s="102" t="s">
        <v>240</v>
      </c>
      <c r="G21" s="102" t="s">
        <v>241</v>
      </c>
      <c r="H21" s="104" t="s">
        <v>242</v>
      </c>
      <c r="I21" s="105"/>
      <c r="M21" s="60" t="s">
        <v>0</v>
      </c>
      <c r="N21" s="61" t="s">
        <v>218</v>
      </c>
      <c r="O21" s="60" t="s">
        <v>217</v>
      </c>
      <c r="P21" s="59" t="s">
        <v>216</v>
      </c>
      <c r="Q21" s="59" t="s">
        <v>215</v>
      </c>
    </row>
    <row r="22" spans="2:18" ht="15.6" thickBot="1">
      <c r="B22" s="55">
        <v>20</v>
      </c>
      <c r="C22" s="57">
        <f t="shared" si="1"/>
        <v>13920</v>
      </c>
      <c r="D22" s="57">
        <f t="shared" si="1"/>
        <v>10338</v>
      </c>
      <c r="F22" s="103"/>
      <c r="G22" s="103"/>
      <c r="H22" s="70" t="s">
        <v>243</v>
      </c>
      <c r="I22" s="70" t="s">
        <v>244</v>
      </c>
      <c r="M22" s="55">
        <v>5</v>
      </c>
      <c r="N22" s="58">
        <f>125.73*M22 + 1654.7</f>
        <v>2283.35</v>
      </c>
      <c r="O22" s="56">
        <v>905</v>
      </c>
      <c r="P22" s="56">
        <f>+N22/M22</f>
        <v>456.66999999999996</v>
      </c>
      <c r="Q22" s="56">
        <f>O22/M22</f>
        <v>181</v>
      </c>
    </row>
    <row r="23" spans="2:18" ht="15" thickBot="1">
      <c r="F23" s="71" t="s">
        <v>246</v>
      </c>
      <c r="G23" s="106" t="s">
        <v>247</v>
      </c>
      <c r="H23" s="106" t="s">
        <v>247</v>
      </c>
      <c r="I23" s="106" t="s">
        <v>245</v>
      </c>
      <c r="M23" s="55">
        <v>7.5</v>
      </c>
      <c r="N23" s="58">
        <f>125.73*M23 + 1654.7</f>
        <v>2597.6750000000002</v>
      </c>
      <c r="O23" s="56">
        <v>1125</v>
      </c>
      <c r="P23" s="56">
        <f>+N23/M23</f>
        <v>346.35666666666668</v>
      </c>
      <c r="Q23" s="56">
        <f>O23/M23</f>
        <v>150</v>
      </c>
    </row>
    <row r="24" spans="2:18" ht="15" thickBot="1">
      <c r="F24" s="71" t="s">
        <v>248</v>
      </c>
      <c r="G24" s="107"/>
      <c r="H24" s="107"/>
      <c r="I24" s="107"/>
      <c r="M24" s="55">
        <v>10</v>
      </c>
      <c r="N24" s="58">
        <f>125.73*M24 + 1654.7</f>
        <v>2912</v>
      </c>
      <c r="O24" s="56">
        <v>1300</v>
      </c>
      <c r="P24" s="56">
        <f>+N24/M24</f>
        <v>291.2</v>
      </c>
      <c r="Q24" s="56">
        <f>O24/M24</f>
        <v>130</v>
      </c>
    </row>
    <row r="25" spans="2:18">
      <c r="E25" s="6"/>
      <c r="F25" s="6"/>
      <c r="M25" s="55">
        <v>15</v>
      </c>
      <c r="N25" s="58">
        <f>125.73*M25 + 1654.7</f>
        <v>3540.65</v>
      </c>
      <c r="O25" s="56">
        <v>1775</v>
      </c>
      <c r="P25" s="56">
        <f>+N25/M25</f>
        <v>236.04333333333335</v>
      </c>
      <c r="Q25" s="56">
        <f>O25/M25</f>
        <v>118.33333333333333</v>
      </c>
    </row>
    <row r="26" spans="2:18">
      <c r="M26" s="55">
        <v>20</v>
      </c>
      <c r="N26" s="58">
        <f>125.73*M26 + 1654.7</f>
        <v>4169.3</v>
      </c>
      <c r="O26" s="56">
        <v>2025</v>
      </c>
      <c r="P26" s="56">
        <f>+N26/M26</f>
        <v>208.465</v>
      </c>
      <c r="Q26" s="56">
        <f>O26/M26</f>
        <v>101.25</v>
      </c>
      <c r="R26" s="55" t="s">
        <v>214</v>
      </c>
    </row>
    <row r="27" spans="2:18">
      <c r="N27" s="91" t="s">
        <v>227</v>
      </c>
      <c r="O27" s="63" t="s">
        <v>225</v>
      </c>
      <c r="P27" s="92">
        <f>AVERAGE(P22:P24)</f>
        <v>364.74222222222221</v>
      </c>
      <c r="Q27" s="92">
        <f>AVERAGE(Q22:Q24)</f>
        <v>153.66666666666666</v>
      </c>
      <c r="R27" s="93">
        <f>+P27+Q27</f>
        <v>518.4088888888889</v>
      </c>
    </row>
    <row r="28" spans="2:18">
      <c r="N28" s="91" t="s">
        <v>226</v>
      </c>
      <c r="O28" s="63" t="s">
        <v>224</v>
      </c>
      <c r="P28" s="92">
        <f>AVERAGE(P25:P26)</f>
        <v>222.25416666666666</v>
      </c>
      <c r="Q28" s="92">
        <f>AVERAGE(Q25:Q26)</f>
        <v>109.79166666666666</v>
      </c>
      <c r="R28" s="93">
        <f>+P28+Q28</f>
        <v>332.04583333333335</v>
      </c>
    </row>
    <row r="31" spans="2:18">
      <c r="D31" t="s">
        <v>213</v>
      </c>
      <c r="O31" s="99" t="s">
        <v>223</v>
      </c>
      <c r="P31" s="99"/>
      <c r="Q31" s="99"/>
    </row>
    <row r="32" spans="2:18">
      <c r="D32" s="53" t="s">
        <v>212</v>
      </c>
      <c r="O32" s="55" t="s">
        <v>222</v>
      </c>
      <c r="P32" s="55" t="s">
        <v>221</v>
      </c>
      <c r="Q32" s="55" t="s">
        <v>220</v>
      </c>
    </row>
    <row r="33" spans="4:17">
      <c r="D33" t="s">
        <v>211</v>
      </c>
      <c r="E33" t="s">
        <v>47</v>
      </c>
      <c r="F33" t="s">
        <v>202</v>
      </c>
      <c r="N33" s="55">
        <v>7.5</v>
      </c>
      <c r="O33" s="56">
        <f>E34</f>
        <v>7863</v>
      </c>
      <c r="P33" s="56">
        <f>F34</f>
        <v>5200</v>
      </c>
      <c r="Q33" s="56">
        <f>G34</f>
        <v>2663</v>
      </c>
    </row>
    <row r="34" spans="4:17">
      <c r="D34">
        <v>7.5</v>
      </c>
      <c r="E34">
        <v>7863</v>
      </c>
      <c r="F34">
        <v>5200</v>
      </c>
      <c r="G34">
        <f>+E34-F34</f>
        <v>2663</v>
      </c>
      <c r="N34" s="55">
        <v>10</v>
      </c>
      <c r="O34" s="56">
        <f>E43</f>
        <v>8600</v>
      </c>
      <c r="P34" s="56">
        <f>F43</f>
        <v>5000</v>
      </c>
      <c r="Q34" s="56">
        <f>G43</f>
        <v>3600</v>
      </c>
    </row>
    <row r="35" spans="4:17">
      <c r="D35">
        <v>10</v>
      </c>
      <c r="E35">
        <v>8241</v>
      </c>
      <c r="F35">
        <v>6000</v>
      </c>
      <c r="G35">
        <f>+E35-F35</f>
        <v>2241</v>
      </c>
      <c r="N35" s="55">
        <v>10</v>
      </c>
      <c r="O35" s="56">
        <f>E35</f>
        <v>8241</v>
      </c>
      <c r="P35" s="56">
        <f>F35</f>
        <v>6000</v>
      </c>
      <c r="Q35" s="56">
        <f>G35</f>
        <v>2241</v>
      </c>
    </row>
    <row r="36" spans="4:17">
      <c r="D36">
        <v>15</v>
      </c>
      <c r="E36">
        <v>9154</v>
      </c>
      <c r="F36">
        <v>6450</v>
      </c>
      <c r="G36">
        <f>+E36-F36</f>
        <v>2704</v>
      </c>
    </row>
    <row r="37" spans="4:17">
      <c r="D37">
        <v>20</v>
      </c>
      <c r="E37" t="s">
        <v>201</v>
      </c>
      <c r="F37" t="s">
        <v>201</v>
      </c>
      <c r="N37" s="55">
        <v>15</v>
      </c>
      <c r="O37" s="56">
        <f>E36</f>
        <v>9154</v>
      </c>
      <c r="P37" s="56">
        <f>F36</f>
        <v>6450</v>
      </c>
      <c r="Q37" s="56">
        <f>G36</f>
        <v>2704</v>
      </c>
    </row>
    <row r="38" spans="4:17">
      <c r="N38" s="55">
        <v>15</v>
      </c>
      <c r="O38" s="56">
        <f>E56</f>
        <v>12035</v>
      </c>
      <c r="P38" s="56">
        <f>F56</f>
        <v>7855</v>
      </c>
      <c r="Q38" s="56">
        <f>G56</f>
        <v>4180</v>
      </c>
    </row>
    <row r="39" spans="4:17">
      <c r="N39" s="55">
        <v>20</v>
      </c>
      <c r="O39" s="56">
        <f>E45</f>
        <v>15000</v>
      </c>
      <c r="P39" s="56">
        <f>F45</f>
        <v>11360</v>
      </c>
      <c r="Q39" s="56">
        <f>G45</f>
        <v>3640</v>
      </c>
    </row>
    <row r="40" spans="4:17">
      <c r="D40" s="53" t="s">
        <v>210</v>
      </c>
      <c r="N40" s="55">
        <v>20</v>
      </c>
      <c r="O40" s="56">
        <f>E57</f>
        <v>14148</v>
      </c>
      <c r="P40" s="56">
        <f>F57</f>
        <v>8747</v>
      </c>
      <c r="Q40" s="56">
        <f>G57</f>
        <v>5401</v>
      </c>
    </row>
    <row r="41" spans="4:17">
      <c r="D41" t="s">
        <v>209</v>
      </c>
      <c r="E41" t="s">
        <v>47</v>
      </c>
      <c r="F41" t="s">
        <v>202</v>
      </c>
      <c r="N41" s="55">
        <v>20</v>
      </c>
      <c r="O41" s="56">
        <f>E66</f>
        <v>13920</v>
      </c>
      <c r="P41" s="56">
        <f>F66</f>
        <v>10338</v>
      </c>
      <c r="Q41" s="56">
        <f>G66</f>
        <v>3582</v>
      </c>
    </row>
    <row r="42" spans="4:17">
      <c r="D42">
        <v>7.5</v>
      </c>
      <c r="E42" t="s">
        <v>201</v>
      </c>
      <c r="F42">
        <v>4950</v>
      </c>
      <c r="H42" t="s">
        <v>208</v>
      </c>
      <c r="O42" s="56">
        <f>AVERAGE(O37/$N$37,O38/$N$38,O39/$N$39,O40/$N$40,O41/$N$41)</f>
        <v>713.2</v>
      </c>
      <c r="P42" s="56">
        <f>AVERAGE(P37/$N$37,P38/$N$38,P39/$N$39,P40/$N$40,P41/$N$41)</f>
        <v>495.18333333333328</v>
      </c>
      <c r="Q42" s="56">
        <f>AVERAGE(Q37/$N$37,Q38/$N$38,Q39/$N$39,Q40/$N$40,Q41/$N$41)</f>
        <v>218.01666666666665</v>
      </c>
    </row>
    <row r="43" spans="4:17">
      <c r="D43">
        <v>10</v>
      </c>
      <c r="E43">
        <v>8600</v>
      </c>
      <c r="F43">
        <v>5000</v>
      </c>
      <c r="G43">
        <f>+E43-F43</f>
        <v>3600</v>
      </c>
      <c r="H43" t="s">
        <v>208</v>
      </c>
    </row>
    <row r="44" spans="4:17">
      <c r="D44">
        <v>15</v>
      </c>
      <c r="E44">
        <v>9700</v>
      </c>
      <c r="F44">
        <v>9000</v>
      </c>
      <c r="G44">
        <f>+E44-F44</f>
        <v>700</v>
      </c>
    </row>
    <row r="45" spans="4:17">
      <c r="D45">
        <v>20</v>
      </c>
      <c r="E45">
        <v>15000</v>
      </c>
      <c r="F45">
        <v>11360</v>
      </c>
      <c r="G45">
        <f>+E45-F45</f>
        <v>3640</v>
      </c>
    </row>
    <row r="52" spans="4:7">
      <c r="D52" t="s">
        <v>207</v>
      </c>
    </row>
    <row r="53" spans="4:7">
      <c r="D53" t="s">
        <v>206</v>
      </c>
      <c r="E53" t="s">
        <v>47</v>
      </c>
      <c r="F53" t="s">
        <v>202</v>
      </c>
    </row>
    <row r="54" spans="4:7">
      <c r="D54">
        <v>7.5</v>
      </c>
      <c r="E54" t="s">
        <v>201</v>
      </c>
    </row>
    <row r="55" spans="4:7">
      <c r="D55">
        <v>10</v>
      </c>
      <c r="E55" t="s">
        <v>201</v>
      </c>
    </row>
    <row r="56" spans="4:7">
      <c r="D56">
        <v>15</v>
      </c>
      <c r="E56">
        <v>12035</v>
      </c>
      <c r="F56">
        <v>7855</v>
      </c>
      <c r="G56">
        <f>+E56-F56</f>
        <v>4180</v>
      </c>
    </row>
    <row r="57" spans="4:7">
      <c r="D57">
        <v>20</v>
      </c>
      <c r="E57">
        <v>14148</v>
      </c>
      <c r="F57">
        <v>8747</v>
      </c>
      <c r="G57">
        <f>+E57-F57</f>
        <v>5401</v>
      </c>
    </row>
    <row r="61" spans="4:7">
      <c r="D61" s="53" t="s">
        <v>205</v>
      </c>
    </row>
    <row r="62" spans="4:7">
      <c r="D62" t="s">
        <v>204</v>
      </c>
      <c r="E62" t="s">
        <v>203</v>
      </c>
      <c r="F62" t="s">
        <v>202</v>
      </c>
    </row>
    <row r="63" spans="4:7">
      <c r="D63">
        <v>7.5</v>
      </c>
      <c r="E63" t="s">
        <v>201</v>
      </c>
      <c r="F63">
        <v>6367</v>
      </c>
    </row>
    <row r="64" spans="4:7">
      <c r="D64">
        <v>10</v>
      </c>
      <c r="E64" t="s">
        <v>201</v>
      </c>
      <c r="F64">
        <v>7841</v>
      </c>
    </row>
    <row r="65" spans="4:7">
      <c r="D65">
        <v>15</v>
      </c>
      <c r="E65" t="s">
        <v>201</v>
      </c>
      <c r="F65">
        <v>10117</v>
      </c>
    </row>
    <row r="66" spans="4:7">
      <c r="D66">
        <v>20</v>
      </c>
      <c r="E66">
        <v>13920</v>
      </c>
      <c r="F66">
        <v>10338</v>
      </c>
      <c r="G66">
        <f>+E66-F66</f>
        <v>3582</v>
      </c>
    </row>
  </sheetData>
  <mergeCells count="9">
    <mergeCell ref="O31:Q31"/>
    <mergeCell ref="L3:P3"/>
    <mergeCell ref="F21:F22"/>
    <mergeCell ref="G21:G22"/>
    <mergeCell ref="H21:I21"/>
    <mergeCell ref="G23:G24"/>
    <mergeCell ref="H23:H24"/>
    <mergeCell ref="I23:I24"/>
    <mergeCell ref="M20:R20"/>
  </mergeCells>
  <hyperlinks>
    <hyperlink ref="D40" r:id="rId1"/>
    <hyperlink ref="D32" r:id="rId2"/>
    <hyperlink ref="D61" r:id="rId3"/>
  </hyperlinks>
  <pageMargins left="0.7" right="0.7" top="0.75" bottom="0.75" header="0.3" footer="0.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P211"/>
  <sheetViews>
    <sheetView workbookViewId="0">
      <selection activeCell="K16" sqref="K16"/>
    </sheetView>
  </sheetViews>
  <sheetFormatPr defaultRowHeight="14.4"/>
  <cols>
    <col min="1" max="1" width="3.77734375" customWidth="1"/>
    <col min="2" max="2" width="8.5546875" bestFit="1" customWidth="1"/>
    <col min="3" max="3" width="17.5546875" bestFit="1" customWidth="1"/>
    <col min="4" max="4" width="14.5546875" bestFit="1" customWidth="1"/>
    <col min="5" max="5" width="9.5546875" bestFit="1" customWidth="1"/>
    <col min="6" max="6" width="18" bestFit="1" customWidth="1"/>
    <col min="7" max="7" width="8.44140625" bestFit="1" customWidth="1"/>
    <col min="8" max="8" width="11.5546875" style="3" bestFit="1" customWidth="1"/>
    <col min="9" max="9" width="9" bestFit="1" customWidth="1"/>
    <col min="10" max="10" width="3.44140625" customWidth="1"/>
    <col min="11" max="11" width="13.5546875" bestFit="1" customWidth="1"/>
    <col min="12" max="12" width="13.21875" bestFit="1" customWidth="1"/>
    <col min="13" max="13" width="15.5546875" bestFit="1" customWidth="1"/>
    <col min="14" max="14" width="12.44140625" bestFit="1" customWidth="1"/>
    <col min="15" max="16" width="14.44140625" bestFit="1" customWidth="1"/>
  </cols>
  <sheetData>
    <row r="2" spans="2:16">
      <c r="B2" s="55" t="s">
        <v>184</v>
      </c>
      <c r="C2" s="55" t="s">
        <v>183</v>
      </c>
      <c r="D2" s="55" t="s">
        <v>182</v>
      </c>
      <c r="E2" s="55" t="s">
        <v>181</v>
      </c>
      <c r="F2" s="55" t="s">
        <v>180</v>
      </c>
      <c r="G2" s="55" t="s">
        <v>179</v>
      </c>
      <c r="H2" s="55" t="s">
        <v>178</v>
      </c>
      <c r="I2" s="55" t="s">
        <v>71</v>
      </c>
      <c r="K2" s="99" t="s">
        <v>188</v>
      </c>
      <c r="L2" s="99"/>
      <c r="M2" s="99"/>
    </row>
    <row r="3" spans="2:16">
      <c r="B3" s="55">
        <v>3</v>
      </c>
      <c r="C3" s="55">
        <v>4.8</v>
      </c>
      <c r="D3" s="55" t="s">
        <v>118</v>
      </c>
      <c r="E3" s="55" t="s">
        <v>117</v>
      </c>
      <c r="F3" s="55" t="s">
        <v>116</v>
      </c>
      <c r="G3" s="55" t="s">
        <v>251</v>
      </c>
      <c r="H3" s="56">
        <v>1443</v>
      </c>
      <c r="I3" s="57">
        <f>H3/B3</f>
        <v>481</v>
      </c>
      <c r="J3" s="6"/>
      <c r="K3" s="55" t="s">
        <v>189</v>
      </c>
      <c r="L3" s="55" t="s">
        <v>187</v>
      </c>
      <c r="M3" s="55" t="s">
        <v>193</v>
      </c>
      <c r="N3" s="54" t="s">
        <v>190</v>
      </c>
      <c r="O3" t="s">
        <v>191</v>
      </c>
      <c r="P3" t="s">
        <v>192</v>
      </c>
    </row>
    <row r="4" spans="2:16">
      <c r="B4" s="55">
        <v>3</v>
      </c>
      <c r="C4" s="55">
        <v>5.6</v>
      </c>
      <c r="D4" s="55" t="s">
        <v>118</v>
      </c>
      <c r="E4" s="55" t="s">
        <v>117</v>
      </c>
      <c r="F4" s="55" t="s">
        <v>116</v>
      </c>
      <c r="G4" s="55" t="s">
        <v>174</v>
      </c>
      <c r="H4" s="56">
        <v>820</v>
      </c>
      <c r="I4" s="57">
        <f t="shared" ref="I4:I67" si="0">H4/B4</f>
        <v>273.33333333333331</v>
      </c>
      <c r="J4" s="6"/>
      <c r="K4" s="55" t="s">
        <v>185</v>
      </c>
      <c r="L4" s="57">
        <f>AVERAGE(O6:O8)</f>
        <v>1474.7809523809526</v>
      </c>
      <c r="M4" s="57">
        <f>AVERAGE(P6:P8)</f>
        <v>206.94857142857143</v>
      </c>
      <c r="N4" s="82">
        <v>3</v>
      </c>
      <c r="O4" s="6">
        <v>1140.5999999999999</v>
      </c>
      <c r="P4" s="6">
        <v>380.19999999999993</v>
      </c>
    </row>
    <row r="5" spans="2:16">
      <c r="B5" s="55">
        <v>3</v>
      </c>
      <c r="C5" s="55">
        <v>5.6</v>
      </c>
      <c r="D5" s="55" t="s">
        <v>118</v>
      </c>
      <c r="E5" s="55" t="s">
        <v>117</v>
      </c>
      <c r="F5" s="55" t="s">
        <v>116</v>
      </c>
      <c r="G5" s="55" t="s">
        <v>176</v>
      </c>
      <c r="H5" s="56">
        <v>1381</v>
      </c>
      <c r="I5" s="57">
        <f t="shared" si="0"/>
        <v>460.33333333333331</v>
      </c>
      <c r="J5" s="6"/>
      <c r="K5" s="55" t="s">
        <v>186</v>
      </c>
      <c r="L5" s="57">
        <f>AVERAGE(O9:O10)</f>
        <v>2099.3000000000002</v>
      </c>
      <c r="M5" s="57">
        <f>AVERAGE(P7:P9)</f>
        <v>161.10412698412699</v>
      </c>
      <c r="N5" s="82">
        <v>4</v>
      </c>
      <c r="O5" s="6">
        <v>881</v>
      </c>
      <c r="P5" s="6">
        <v>220.25</v>
      </c>
    </row>
    <row r="6" spans="2:16">
      <c r="B6" s="55">
        <v>3</v>
      </c>
      <c r="C6" s="55">
        <v>5.6</v>
      </c>
      <c r="D6" s="55" t="s">
        <v>118</v>
      </c>
      <c r="E6" s="55" t="s">
        <v>117</v>
      </c>
      <c r="F6" s="55" t="s">
        <v>116</v>
      </c>
      <c r="G6" s="55" t="s">
        <v>177</v>
      </c>
      <c r="H6" s="56">
        <v>1050</v>
      </c>
      <c r="I6" s="57">
        <f t="shared" si="0"/>
        <v>350</v>
      </c>
      <c r="J6" s="6"/>
      <c r="N6" s="82">
        <v>5</v>
      </c>
      <c r="O6" s="6">
        <v>1300.4000000000001</v>
      </c>
      <c r="P6" s="6">
        <v>260.08000000000004</v>
      </c>
    </row>
    <row r="7" spans="2:16">
      <c r="B7" s="55">
        <v>3</v>
      </c>
      <c r="C7" s="55">
        <v>5.6</v>
      </c>
      <c r="D7" s="55" t="s">
        <v>118</v>
      </c>
      <c r="E7" s="55" t="s">
        <v>117</v>
      </c>
      <c r="F7" s="55" t="s">
        <v>116</v>
      </c>
      <c r="G7" s="55" t="s">
        <v>175</v>
      </c>
      <c r="H7" s="56">
        <v>1009</v>
      </c>
      <c r="I7" s="57">
        <f t="shared" si="0"/>
        <v>336.33333333333331</v>
      </c>
      <c r="J7" s="6"/>
      <c r="N7" s="82">
        <v>7.5</v>
      </c>
      <c r="O7" s="6">
        <v>1451.1428571428571</v>
      </c>
      <c r="P7" s="6">
        <v>193.48571428571429</v>
      </c>
    </row>
    <row r="8" spans="2:16">
      <c r="B8" s="55">
        <v>4</v>
      </c>
      <c r="C8" s="55">
        <v>8</v>
      </c>
      <c r="D8" s="55" t="s">
        <v>118</v>
      </c>
      <c r="E8" s="55" t="s">
        <v>117</v>
      </c>
      <c r="F8" s="55" t="s">
        <v>116</v>
      </c>
      <c r="G8" s="55" t="s">
        <v>173</v>
      </c>
      <c r="H8" s="56">
        <v>881</v>
      </c>
      <c r="I8" s="57">
        <f t="shared" si="0"/>
        <v>220.25</v>
      </c>
      <c r="J8" s="6"/>
      <c r="N8" s="82">
        <v>10</v>
      </c>
      <c r="O8" s="6">
        <v>1672.8</v>
      </c>
      <c r="P8" s="6">
        <v>167.28</v>
      </c>
    </row>
    <row r="9" spans="2:16">
      <c r="B9" s="55">
        <v>5</v>
      </c>
      <c r="C9" s="55">
        <v>7.6</v>
      </c>
      <c r="D9" s="55" t="s">
        <v>118</v>
      </c>
      <c r="E9" s="55" t="s">
        <v>117</v>
      </c>
      <c r="F9" s="55" t="s">
        <v>116</v>
      </c>
      <c r="G9" s="55" t="s">
        <v>252</v>
      </c>
      <c r="H9" s="56">
        <v>1618</v>
      </c>
      <c r="I9" s="57">
        <f t="shared" si="0"/>
        <v>323.60000000000002</v>
      </c>
      <c r="J9" s="6"/>
      <c r="N9" s="82">
        <v>15</v>
      </c>
      <c r="O9" s="6">
        <v>1838.2</v>
      </c>
      <c r="P9" s="6">
        <v>122.54666666666667</v>
      </c>
    </row>
    <row r="10" spans="2:16">
      <c r="B10" s="55">
        <v>5</v>
      </c>
      <c r="C10" s="55">
        <v>7.6</v>
      </c>
      <c r="D10" s="55" t="s">
        <v>118</v>
      </c>
      <c r="E10" s="55" t="s">
        <v>117</v>
      </c>
      <c r="F10" s="55" t="s">
        <v>116</v>
      </c>
      <c r="G10" s="55" t="s">
        <v>170</v>
      </c>
      <c r="H10" s="56">
        <v>1473</v>
      </c>
      <c r="I10" s="57">
        <f t="shared" si="0"/>
        <v>294.60000000000002</v>
      </c>
      <c r="J10" s="6"/>
      <c r="N10" s="82">
        <v>20</v>
      </c>
      <c r="O10" s="6">
        <v>2360.4</v>
      </c>
      <c r="P10" s="6">
        <v>118.01999999999998</v>
      </c>
    </row>
    <row r="11" spans="2:16">
      <c r="B11" s="55">
        <v>5</v>
      </c>
      <c r="C11" s="55">
        <v>7.6</v>
      </c>
      <c r="D11" s="55" t="s">
        <v>118</v>
      </c>
      <c r="E11" s="55" t="s">
        <v>117</v>
      </c>
      <c r="F11" s="55" t="s">
        <v>116</v>
      </c>
      <c r="G11" s="55" t="s">
        <v>171</v>
      </c>
      <c r="H11" s="56">
        <v>1228</v>
      </c>
      <c r="I11" s="57">
        <f t="shared" si="0"/>
        <v>245.6</v>
      </c>
      <c r="J11" s="6"/>
      <c r="N11" s="82">
        <v>25</v>
      </c>
      <c r="O11" s="6">
        <v>2814.4</v>
      </c>
      <c r="P11" s="6">
        <v>112.57599999999999</v>
      </c>
    </row>
    <row r="12" spans="2:16">
      <c r="B12" s="55">
        <v>5</v>
      </c>
      <c r="C12" s="55">
        <v>7.6</v>
      </c>
      <c r="D12" s="55" t="s">
        <v>118</v>
      </c>
      <c r="E12" s="55" t="s">
        <v>117</v>
      </c>
      <c r="F12" s="55" t="s">
        <v>116</v>
      </c>
      <c r="G12" s="55" t="s">
        <v>172</v>
      </c>
      <c r="H12" s="56">
        <v>1279</v>
      </c>
      <c r="I12" s="57">
        <f t="shared" si="0"/>
        <v>255.8</v>
      </c>
      <c r="J12" s="6"/>
      <c r="N12" s="82">
        <v>30</v>
      </c>
      <c r="O12" s="6">
        <v>3350.6</v>
      </c>
      <c r="P12" s="6">
        <v>111.68666666666668</v>
      </c>
    </row>
    <row r="13" spans="2:16">
      <c r="B13" s="55">
        <v>5</v>
      </c>
      <c r="C13" s="55">
        <v>9.6</v>
      </c>
      <c r="D13" s="55" t="s">
        <v>118</v>
      </c>
      <c r="E13" s="55" t="s">
        <v>117</v>
      </c>
      <c r="F13" s="55" t="s">
        <v>116</v>
      </c>
      <c r="G13" s="55" t="s">
        <v>169</v>
      </c>
      <c r="H13" s="56">
        <v>904</v>
      </c>
      <c r="I13" s="57">
        <f t="shared" si="0"/>
        <v>180.8</v>
      </c>
      <c r="J13" s="6"/>
      <c r="N13" s="82">
        <v>40</v>
      </c>
      <c r="O13" s="6">
        <v>4274</v>
      </c>
      <c r="P13" s="6">
        <v>106.85</v>
      </c>
    </row>
    <row r="14" spans="2:16">
      <c r="B14" s="55">
        <v>7.5</v>
      </c>
      <c r="C14" s="55">
        <v>12</v>
      </c>
      <c r="D14" s="55" t="s">
        <v>118</v>
      </c>
      <c r="E14" s="55" t="s">
        <v>117</v>
      </c>
      <c r="F14" s="55" t="s">
        <v>116</v>
      </c>
      <c r="G14" s="55" t="s">
        <v>168</v>
      </c>
      <c r="H14" s="56">
        <v>1753</v>
      </c>
      <c r="I14" s="57">
        <f t="shared" si="0"/>
        <v>233.73333333333332</v>
      </c>
      <c r="J14" s="6"/>
      <c r="N14" s="82">
        <v>50</v>
      </c>
      <c r="O14" s="6">
        <v>5165</v>
      </c>
      <c r="P14" s="6">
        <v>103.3</v>
      </c>
    </row>
    <row r="15" spans="2:16">
      <c r="B15" s="55">
        <v>7.5</v>
      </c>
      <c r="C15" s="55">
        <v>9</v>
      </c>
      <c r="D15" s="55" t="s">
        <v>118</v>
      </c>
      <c r="E15" s="55" t="s">
        <v>117</v>
      </c>
      <c r="F15" s="55" t="s">
        <v>116</v>
      </c>
      <c r="G15" s="55" t="s">
        <v>167</v>
      </c>
      <c r="H15" s="56">
        <v>1388</v>
      </c>
      <c r="I15" s="57">
        <f t="shared" si="0"/>
        <v>185.06666666666666</v>
      </c>
      <c r="J15" s="6"/>
      <c r="N15" s="82">
        <v>60</v>
      </c>
      <c r="O15" s="6">
        <v>6040.6</v>
      </c>
      <c r="P15" s="6">
        <v>100.67666666666666</v>
      </c>
    </row>
    <row r="16" spans="2:16">
      <c r="B16" s="55">
        <v>7.5</v>
      </c>
      <c r="C16" s="55">
        <v>11</v>
      </c>
      <c r="D16" s="55" t="s">
        <v>118</v>
      </c>
      <c r="E16" s="55" t="s">
        <v>117</v>
      </c>
      <c r="F16" s="55" t="s">
        <v>116</v>
      </c>
      <c r="G16" s="55" t="s">
        <v>253</v>
      </c>
      <c r="H16" s="56">
        <v>1799</v>
      </c>
      <c r="I16" s="57">
        <f t="shared" si="0"/>
        <v>239.86666666666667</v>
      </c>
      <c r="J16" s="6"/>
      <c r="N16" s="82">
        <v>75</v>
      </c>
      <c r="O16" s="6">
        <v>7445</v>
      </c>
      <c r="P16" s="6">
        <v>99.266666666666666</v>
      </c>
    </row>
    <row r="17" spans="2:10">
      <c r="B17" s="55">
        <v>7.5</v>
      </c>
      <c r="C17" s="55">
        <v>12</v>
      </c>
      <c r="D17" s="55" t="s">
        <v>118</v>
      </c>
      <c r="E17" s="55" t="s">
        <v>117</v>
      </c>
      <c r="F17" s="55" t="s">
        <v>116</v>
      </c>
      <c r="G17" s="55" t="s">
        <v>165</v>
      </c>
      <c r="H17" s="56">
        <v>1026</v>
      </c>
      <c r="I17" s="57">
        <f t="shared" si="0"/>
        <v>136.80000000000001</v>
      </c>
      <c r="J17" s="6"/>
    </row>
    <row r="18" spans="2:10">
      <c r="B18" s="55">
        <v>7.5</v>
      </c>
      <c r="C18" s="55">
        <v>12</v>
      </c>
      <c r="D18" s="55" t="s">
        <v>118</v>
      </c>
      <c r="E18" s="55" t="s">
        <v>117</v>
      </c>
      <c r="F18" s="55" t="s">
        <v>116</v>
      </c>
      <c r="G18" s="55" t="s">
        <v>164</v>
      </c>
      <c r="H18" s="56">
        <v>1495</v>
      </c>
      <c r="I18" s="57">
        <f t="shared" si="0"/>
        <v>199.33333333333334</v>
      </c>
      <c r="J18" s="6"/>
    </row>
    <row r="19" spans="2:10">
      <c r="B19" s="55">
        <v>7.5</v>
      </c>
      <c r="C19" s="55">
        <v>12</v>
      </c>
      <c r="D19" s="55" t="s">
        <v>118</v>
      </c>
      <c r="E19" s="55" t="s">
        <v>117</v>
      </c>
      <c r="F19" s="55" t="s">
        <v>116</v>
      </c>
      <c r="G19" s="55" t="s">
        <v>163</v>
      </c>
      <c r="H19" s="56">
        <v>1333</v>
      </c>
      <c r="I19" s="57">
        <f t="shared" si="0"/>
        <v>177.73333333333332</v>
      </c>
      <c r="J19" s="6"/>
    </row>
    <row r="20" spans="2:10">
      <c r="B20" s="55">
        <v>7.5</v>
      </c>
      <c r="C20" s="55">
        <v>12</v>
      </c>
      <c r="D20" s="55" t="s">
        <v>118</v>
      </c>
      <c r="E20" s="55" t="s">
        <v>117</v>
      </c>
      <c r="F20" s="55" t="s">
        <v>116</v>
      </c>
      <c r="G20" s="55" t="s">
        <v>166</v>
      </c>
      <c r="H20" s="56">
        <v>1364</v>
      </c>
      <c r="I20" s="57">
        <f t="shared" si="0"/>
        <v>181.86666666666667</v>
      </c>
      <c r="J20" s="6"/>
    </row>
    <row r="21" spans="2:10">
      <c r="B21" s="55">
        <v>10</v>
      </c>
      <c r="C21" s="55">
        <v>14</v>
      </c>
      <c r="D21" s="55" t="s">
        <v>118</v>
      </c>
      <c r="E21" s="55" t="s">
        <v>117</v>
      </c>
      <c r="F21" s="55" t="s">
        <v>116</v>
      </c>
      <c r="G21" s="55" t="s">
        <v>254</v>
      </c>
      <c r="H21" s="56">
        <v>1952</v>
      </c>
      <c r="I21" s="57">
        <f t="shared" si="0"/>
        <v>195.2</v>
      </c>
      <c r="J21" s="6"/>
    </row>
    <row r="22" spans="2:10">
      <c r="B22" s="55">
        <v>10</v>
      </c>
      <c r="C22" s="55">
        <v>16</v>
      </c>
      <c r="D22" s="55" t="s">
        <v>118</v>
      </c>
      <c r="E22" s="55" t="s">
        <v>117</v>
      </c>
      <c r="F22" s="55" t="s">
        <v>116</v>
      </c>
      <c r="G22" s="55" t="s">
        <v>161</v>
      </c>
      <c r="H22" s="56">
        <v>2086</v>
      </c>
      <c r="I22" s="57">
        <f t="shared" si="0"/>
        <v>208.6</v>
      </c>
      <c r="J22" s="6"/>
    </row>
    <row r="23" spans="2:10">
      <c r="B23" s="55">
        <v>10</v>
      </c>
      <c r="C23" s="55">
        <v>16</v>
      </c>
      <c r="D23" s="55" t="s">
        <v>118</v>
      </c>
      <c r="E23" s="55" t="s">
        <v>117</v>
      </c>
      <c r="F23" s="55" t="s">
        <v>116</v>
      </c>
      <c r="G23" s="55" t="s">
        <v>162</v>
      </c>
      <c r="H23" s="56">
        <v>1601</v>
      </c>
      <c r="I23" s="57">
        <f t="shared" si="0"/>
        <v>160.1</v>
      </c>
      <c r="J23" s="6"/>
    </row>
    <row r="24" spans="2:10">
      <c r="B24" s="55">
        <v>10</v>
      </c>
      <c r="C24" s="55">
        <v>16</v>
      </c>
      <c r="D24" s="55" t="s">
        <v>118</v>
      </c>
      <c r="E24" s="55" t="s">
        <v>117</v>
      </c>
      <c r="F24" s="55" t="s">
        <v>116</v>
      </c>
      <c r="G24" s="55" t="s">
        <v>159</v>
      </c>
      <c r="H24" s="56">
        <v>1460</v>
      </c>
      <c r="I24" s="57">
        <f t="shared" si="0"/>
        <v>146</v>
      </c>
      <c r="J24" s="6"/>
    </row>
    <row r="25" spans="2:10">
      <c r="B25" s="55">
        <v>10</v>
      </c>
      <c r="C25" s="55">
        <v>16</v>
      </c>
      <c r="D25" s="55" t="s">
        <v>118</v>
      </c>
      <c r="E25" s="55" t="s">
        <v>117</v>
      </c>
      <c r="F25" s="55" t="s">
        <v>116</v>
      </c>
      <c r="G25" s="55" t="s">
        <v>160</v>
      </c>
      <c r="H25" s="56">
        <v>1265</v>
      </c>
      <c r="I25" s="57">
        <f t="shared" si="0"/>
        <v>126.5</v>
      </c>
      <c r="J25" s="6"/>
    </row>
    <row r="26" spans="2:10">
      <c r="B26" s="55">
        <v>15</v>
      </c>
      <c r="C26" s="55">
        <v>21</v>
      </c>
      <c r="D26" s="55" t="s">
        <v>118</v>
      </c>
      <c r="E26" s="55" t="s">
        <v>117</v>
      </c>
      <c r="F26" s="55" t="s">
        <v>116</v>
      </c>
      <c r="G26" s="55" t="s">
        <v>255</v>
      </c>
      <c r="H26" s="56">
        <v>2123</v>
      </c>
      <c r="I26" s="57">
        <f t="shared" si="0"/>
        <v>141.53333333333333</v>
      </c>
      <c r="J26" s="6"/>
    </row>
    <row r="27" spans="2:10">
      <c r="B27" s="55">
        <v>15</v>
      </c>
      <c r="C27" s="55">
        <v>23</v>
      </c>
      <c r="D27" s="55" t="s">
        <v>118</v>
      </c>
      <c r="E27" s="55" t="s">
        <v>117</v>
      </c>
      <c r="F27" s="55" t="s">
        <v>116</v>
      </c>
      <c r="G27" s="55" t="s">
        <v>155</v>
      </c>
      <c r="H27" s="56">
        <v>1871</v>
      </c>
      <c r="I27" s="57">
        <f t="shared" si="0"/>
        <v>124.73333333333333</v>
      </c>
      <c r="J27" s="6"/>
    </row>
    <row r="28" spans="2:10">
      <c r="B28" s="55">
        <v>15</v>
      </c>
      <c r="C28" s="55">
        <v>23</v>
      </c>
      <c r="D28" s="55" t="s">
        <v>118</v>
      </c>
      <c r="E28" s="55" t="s">
        <v>117</v>
      </c>
      <c r="F28" s="55" t="s">
        <v>116</v>
      </c>
      <c r="G28" s="55" t="s">
        <v>158</v>
      </c>
      <c r="H28" s="56">
        <v>1697</v>
      </c>
      <c r="I28" s="57">
        <f t="shared" si="0"/>
        <v>113.13333333333334</v>
      </c>
      <c r="J28" s="6"/>
    </row>
    <row r="29" spans="2:10">
      <c r="B29" s="55">
        <v>15</v>
      </c>
      <c r="C29" s="55">
        <v>23</v>
      </c>
      <c r="D29" s="55" t="s">
        <v>118</v>
      </c>
      <c r="E29" s="55" t="s">
        <v>117</v>
      </c>
      <c r="F29" s="55" t="s">
        <v>116</v>
      </c>
      <c r="G29" s="55" t="s">
        <v>156</v>
      </c>
      <c r="H29" s="56">
        <v>1862</v>
      </c>
      <c r="I29" s="57">
        <f t="shared" si="0"/>
        <v>124.13333333333334</v>
      </c>
      <c r="J29" s="6"/>
    </row>
    <row r="30" spans="2:10">
      <c r="B30" s="55">
        <v>15</v>
      </c>
      <c r="C30" s="55">
        <v>23</v>
      </c>
      <c r="D30" s="55" t="s">
        <v>118</v>
      </c>
      <c r="E30" s="55" t="s">
        <v>117</v>
      </c>
      <c r="F30" s="55" t="s">
        <v>116</v>
      </c>
      <c r="G30" s="55" t="s">
        <v>157</v>
      </c>
      <c r="H30" s="56">
        <v>1638</v>
      </c>
      <c r="I30" s="57">
        <f t="shared" si="0"/>
        <v>109.2</v>
      </c>
      <c r="J30" s="6"/>
    </row>
    <row r="31" spans="2:10">
      <c r="B31" s="55">
        <v>20</v>
      </c>
      <c r="C31" s="55">
        <v>27</v>
      </c>
      <c r="D31" s="55" t="s">
        <v>118</v>
      </c>
      <c r="E31" s="55" t="s">
        <v>117</v>
      </c>
      <c r="F31" s="55" t="s">
        <v>116</v>
      </c>
      <c r="G31" s="55" t="s">
        <v>256</v>
      </c>
      <c r="H31" s="56">
        <v>2565</v>
      </c>
      <c r="I31" s="57">
        <f t="shared" si="0"/>
        <v>128.25</v>
      </c>
      <c r="J31" s="6"/>
    </row>
    <row r="32" spans="2:10">
      <c r="B32" s="55">
        <v>20</v>
      </c>
      <c r="C32" s="55">
        <v>31</v>
      </c>
      <c r="D32" s="55" t="s">
        <v>118</v>
      </c>
      <c r="E32" s="55" t="s">
        <v>117</v>
      </c>
      <c r="F32" s="55" t="s">
        <v>116</v>
      </c>
      <c r="G32" s="55" t="s">
        <v>151</v>
      </c>
      <c r="H32" s="56">
        <v>2314</v>
      </c>
      <c r="I32" s="57">
        <f t="shared" si="0"/>
        <v>115.7</v>
      </c>
      <c r="J32" s="6"/>
    </row>
    <row r="33" spans="2:10">
      <c r="B33" s="55">
        <v>20</v>
      </c>
      <c r="C33" s="55">
        <v>31</v>
      </c>
      <c r="D33" s="55" t="s">
        <v>118</v>
      </c>
      <c r="E33" s="55" t="s">
        <v>117</v>
      </c>
      <c r="F33" s="55" t="s">
        <v>116</v>
      </c>
      <c r="G33" s="55" t="s">
        <v>152</v>
      </c>
      <c r="H33" s="56">
        <v>2304</v>
      </c>
      <c r="I33" s="57">
        <f t="shared" si="0"/>
        <v>115.2</v>
      </c>
      <c r="J33" s="6"/>
    </row>
    <row r="34" spans="2:10">
      <c r="B34" s="55">
        <v>20</v>
      </c>
      <c r="C34" s="55">
        <v>31</v>
      </c>
      <c r="D34" s="55" t="s">
        <v>118</v>
      </c>
      <c r="E34" s="55" t="s">
        <v>117</v>
      </c>
      <c r="F34" s="55" t="s">
        <v>116</v>
      </c>
      <c r="G34" s="55" t="s">
        <v>154</v>
      </c>
      <c r="H34" s="56">
        <v>2083</v>
      </c>
      <c r="I34" s="57">
        <f t="shared" si="0"/>
        <v>104.15</v>
      </c>
      <c r="J34" s="6"/>
    </row>
    <row r="35" spans="2:10">
      <c r="B35" s="55">
        <v>20</v>
      </c>
      <c r="C35" s="55">
        <v>31</v>
      </c>
      <c r="D35" s="55" t="s">
        <v>118</v>
      </c>
      <c r="E35" s="55" t="s">
        <v>117</v>
      </c>
      <c r="F35" s="55" t="s">
        <v>116</v>
      </c>
      <c r="G35" s="55" t="s">
        <v>153</v>
      </c>
      <c r="H35" s="56">
        <v>2536</v>
      </c>
      <c r="I35" s="57">
        <f t="shared" si="0"/>
        <v>126.8</v>
      </c>
      <c r="J35" s="6"/>
    </row>
    <row r="36" spans="2:10">
      <c r="B36" s="55">
        <v>25</v>
      </c>
      <c r="C36" s="55">
        <v>34</v>
      </c>
      <c r="D36" s="55" t="s">
        <v>118</v>
      </c>
      <c r="E36" s="55" t="s">
        <v>117</v>
      </c>
      <c r="F36" s="55" t="s">
        <v>116</v>
      </c>
      <c r="G36" s="55" t="s">
        <v>257</v>
      </c>
      <c r="H36" s="56">
        <v>3299</v>
      </c>
      <c r="I36" s="57">
        <f t="shared" si="0"/>
        <v>131.96</v>
      </c>
      <c r="J36" s="6"/>
    </row>
    <row r="37" spans="2:10">
      <c r="B37" s="55">
        <v>25</v>
      </c>
      <c r="C37" s="55">
        <v>38</v>
      </c>
      <c r="D37" s="55" t="s">
        <v>118</v>
      </c>
      <c r="E37" s="55" t="s">
        <v>117</v>
      </c>
      <c r="F37" s="55" t="s">
        <v>116</v>
      </c>
      <c r="G37" s="55" t="s">
        <v>148</v>
      </c>
      <c r="H37" s="56">
        <v>2575</v>
      </c>
      <c r="I37" s="57">
        <f t="shared" si="0"/>
        <v>103</v>
      </c>
      <c r="J37" s="6"/>
    </row>
    <row r="38" spans="2:10">
      <c r="B38" s="55">
        <v>25</v>
      </c>
      <c r="C38" s="55">
        <v>38</v>
      </c>
      <c r="D38" s="55" t="s">
        <v>118</v>
      </c>
      <c r="E38" s="55" t="s">
        <v>117</v>
      </c>
      <c r="F38" s="55" t="s">
        <v>116</v>
      </c>
      <c r="G38" s="55" t="s">
        <v>147</v>
      </c>
      <c r="H38" s="56">
        <v>2706</v>
      </c>
      <c r="I38" s="57">
        <f t="shared" si="0"/>
        <v>108.24</v>
      </c>
      <c r="J38" s="6"/>
    </row>
    <row r="39" spans="2:10">
      <c r="B39" s="55">
        <v>25</v>
      </c>
      <c r="C39" s="55">
        <v>38</v>
      </c>
      <c r="D39" s="55" t="s">
        <v>118</v>
      </c>
      <c r="E39" s="55" t="s">
        <v>117</v>
      </c>
      <c r="F39" s="55" t="s">
        <v>116</v>
      </c>
      <c r="G39" s="55" t="s">
        <v>150</v>
      </c>
      <c r="H39" s="56">
        <v>2669</v>
      </c>
      <c r="I39" s="57">
        <f t="shared" si="0"/>
        <v>106.76</v>
      </c>
      <c r="J39" s="6"/>
    </row>
    <row r="40" spans="2:10">
      <c r="B40" s="55">
        <v>25</v>
      </c>
      <c r="C40" s="55">
        <v>38</v>
      </c>
      <c r="D40" s="55" t="s">
        <v>118</v>
      </c>
      <c r="E40" s="55" t="s">
        <v>117</v>
      </c>
      <c r="F40" s="55" t="s">
        <v>116</v>
      </c>
      <c r="G40" s="55" t="s">
        <v>149</v>
      </c>
      <c r="H40" s="56">
        <v>2823</v>
      </c>
      <c r="I40" s="57">
        <f t="shared" si="0"/>
        <v>112.92</v>
      </c>
      <c r="J40" s="6"/>
    </row>
    <row r="41" spans="2:10">
      <c r="B41" s="55">
        <v>30</v>
      </c>
      <c r="C41" s="55">
        <v>40</v>
      </c>
      <c r="D41" s="55" t="s">
        <v>118</v>
      </c>
      <c r="E41" s="55" t="s">
        <v>117</v>
      </c>
      <c r="F41" s="55" t="s">
        <v>116</v>
      </c>
      <c r="G41" s="55" t="s">
        <v>258</v>
      </c>
      <c r="H41" s="56">
        <v>4028</v>
      </c>
      <c r="I41" s="57">
        <f t="shared" si="0"/>
        <v>134.26666666666668</v>
      </c>
      <c r="J41" s="6"/>
    </row>
    <row r="42" spans="2:10">
      <c r="B42" s="55">
        <v>30</v>
      </c>
      <c r="C42" s="55">
        <v>46</v>
      </c>
      <c r="D42" s="55" t="s">
        <v>118</v>
      </c>
      <c r="E42" s="55" t="s">
        <v>117</v>
      </c>
      <c r="F42" s="55" t="s">
        <v>116</v>
      </c>
      <c r="G42" s="55" t="s">
        <v>145</v>
      </c>
      <c r="H42" s="56">
        <v>3015</v>
      </c>
      <c r="I42" s="57">
        <f t="shared" si="0"/>
        <v>100.5</v>
      </c>
      <c r="J42" s="6"/>
    </row>
    <row r="43" spans="2:10">
      <c r="B43" s="55">
        <v>30</v>
      </c>
      <c r="C43" s="55">
        <v>46</v>
      </c>
      <c r="D43" s="55" t="s">
        <v>118</v>
      </c>
      <c r="E43" s="55" t="s">
        <v>117</v>
      </c>
      <c r="F43" s="55" t="s">
        <v>116</v>
      </c>
      <c r="G43" s="55" t="s">
        <v>146</v>
      </c>
      <c r="H43" s="56">
        <v>3109</v>
      </c>
      <c r="I43" s="57">
        <f t="shared" si="0"/>
        <v>103.63333333333334</v>
      </c>
      <c r="J43" s="6"/>
    </row>
    <row r="44" spans="2:10">
      <c r="B44" s="55">
        <v>30</v>
      </c>
      <c r="C44" s="55">
        <v>46</v>
      </c>
      <c r="D44" s="55" t="s">
        <v>118</v>
      </c>
      <c r="E44" s="55" t="s">
        <v>117</v>
      </c>
      <c r="F44" s="55" t="s">
        <v>116</v>
      </c>
      <c r="G44" s="55" t="s">
        <v>143</v>
      </c>
      <c r="H44" s="56">
        <v>3149</v>
      </c>
      <c r="I44" s="57">
        <f t="shared" si="0"/>
        <v>104.96666666666667</v>
      </c>
      <c r="J44" s="6"/>
    </row>
    <row r="45" spans="2:10">
      <c r="B45" s="55">
        <v>30</v>
      </c>
      <c r="C45" s="55">
        <v>46</v>
      </c>
      <c r="D45" s="55" t="s">
        <v>118</v>
      </c>
      <c r="E45" s="55" t="s">
        <v>117</v>
      </c>
      <c r="F45" s="55" t="s">
        <v>116</v>
      </c>
      <c r="G45" s="55" t="s">
        <v>144</v>
      </c>
      <c r="H45" s="56">
        <v>3452</v>
      </c>
      <c r="I45" s="57">
        <f t="shared" si="0"/>
        <v>115.06666666666666</v>
      </c>
      <c r="J45" s="6"/>
    </row>
    <row r="46" spans="2:10">
      <c r="B46" s="55">
        <v>40</v>
      </c>
      <c r="C46" s="55">
        <v>52</v>
      </c>
      <c r="D46" s="55" t="s">
        <v>118</v>
      </c>
      <c r="E46" s="55" t="s">
        <v>117</v>
      </c>
      <c r="F46" s="55" t="s">
        <v>116</v>
      </c>
      <c r="G46" s="55" t="s">
        <v>259</v>
      </c>
      <c r="H46" s="56">
        <v>4916</v>
      </c>
      <c r="I46" s="57">
        <f t="shared" si="0"/>
        <v>122.9</v>
      </c>
      <c r="J46" s="6"/>
    </row>
    <row r="47" spans="2:10">
      <c r="B47" s="55">
        <v>40</v>
      </c>
      <c r="C47" s="55">
        <v>61</v>
      </c>
      <c r="D47" s="55" t="s">
        <v>118</v>
      </c>
      <c r="E47" s="55" t="s">
        <v>117</v>
      </c>
      <c r="F47" s="55" t="s">
        <v>116</v>
      </c>
      <c r="G47" s="55" t="s">
        <v>139</v>
      </c>
      <c r="H47" s="56">
        <v>3688</v>
      </c>
      <c r="I47" s="57">
        <f t="shared" si="0"/>
        <v>92.2</v>
      </c>
      <c r="J47" s="6"/>
    </row>
    <row r="48" spans="2:10">
      <c r="B48" s="55">
        <v>40</v>
      </c>
      <c r="C48" s="55">
        <v>61</v>
      </c>
      <c r="D48" s="55" t="s">
        <v>118</v>
      </c>
      <c r="E48" s="55" t="s">
        <v>117</v>
      </c>
      <c r="F48" s="55" t="s">
        <v>116</v>
      </c>
      <c r="G48" s="55" t="s">
        <v>140</v>
      </c>
      <c r="H48" s="56">
        <v>3810</v>
      </c>
      <c r="I48" s="57">
        <f t="shared" si="0"/>
        <v>95.25</v>
      </c>
      <c r="J48" s="6"/>
    </row>
    <row r="49" spans="2:10">
      <c r="B49" s="55">
        <v>40</v>
      </c>
      <c r="C49" s="55">
        <v>61</v>
      </c>
      <c r="D49" s="55" t="s">
        <v>118</v>
      </c>
      <c r="E49" s="55" t="s">
        <v>117</v>
      </c>
      <c r="F49" s="55" t="s">
        <v>116</v>
      </c>
      <c r="G49" s="55" t="s">
        <v>141</v>
      </c>
      <c r="H49" s="56">
        <v>4089</v>
      </c>
      <c r="I49" s="57">
        <f t="shared" si="0"/>
        <v>102.22499999999999</v>
      </c>
      <c r="J49" s="6"/>
    </row>
    <row r="50" spans="2:10">
      <c r="B50" s="55">
        <v>40</v>
      </c>
      <c r="C50" s="55">
        <v>61</v>
      </c>
      <c r="D50" s="55" t="s">
        <v>118</v>
      </c>
      <c r="E50" s="55" t="s">
        <v>117</v>
      </c>
      <c r="F50" s="55" t="s">
        <v>116</v>
      </c>
      <c r="G50" s="55" t="s">
        <v>142</v>
      </c>
      <c r="H50" s="56">
        <v>4867</v>
      </c>
      <c r="I50" s="57">
        <f t="shared" si="0"/>
        <v>121.675</v>
      </c>
      <c r="J50" s="6"/>
    </row>
    <row r="51" spans="2:10">
      <c r="B51" s="55">
        <v>50</v>
      </c>
      <c r="C51" s="55">
        <v>65</v>
      </c>
      <c r="D51" s="55" t="s">
        <v>118</v>
      </c>
      <c r="E51" s="55" t="s">
        <v>117</v>
      </c>
      <c r="F51" s="55" t="s">
        <v>116</v>
      </c>
      <c r="G51" s="55" t="s">
        <v>260</v>
      </c>
      <c r="H51" s="56">
        <v>5979</v>
      </c>
      <c r="I51" s="57">
        <f t="shared" si="0"/>
        <v>119.58</v>
      </c>
      <c r="J51" s="6"/>
    </row>
    <row r="52" spans="2:10">
      <c r="B52" s="55">
        <v>50</v>
      </c>
      <c r="C52" s="55">
        <v>72</v>
      </c>
      <c r="D52" s="55" t="s">
        <v>118</v>
      </c>
      <c r="E52" s="55" t="s">
        <v>117</v>
      </c>
      <c r="F52" s="55" t="s">
        <v>116</v>
      </c>
      <c r="G52" s="55" t="s">
        <v>136</v>
      </c>
      <c r="H52" s="56">
        <v>5420</v>
      </c>
      <c r="I52" s="57">
        <f t="shared" si="0"/>
        <v>108.4</v>
      </c>
      <c r="J52" s="6"/>
    </row>
    <row r="53" spans="2:10">
      <c r="B53" s="55">
        <v>50</v>
      </c>
      <c r="C53" s="55">
        <v>72</v>
      </c>
      <c r="D53" s="55" t="s">
        <v>118</v>
      </c>
      <c r="E53" s="55" t="s">
        <v>117</v>
      </c>
      <c r="F53" s="55" t="s">
        <v>116</v>
      </c>
      <c r="G53" s="55" t="s">
        <v>135</v>
      </c>
      <c r="H53" s="56">
        <v>4971</v>
      </c>
      <c r="I53" s="57">
        <f t="shared" si="0"/>
        <v>99.42</v>
      </c>
      <c r="J53" s="6"/>
    </row>
    <row r="54" spans="2:10">
      <c r="B54" s="55">
        <v>50</v>
      </c>
      <c r="C54" s="55">
        <v>72</v>
      </c>
      <c r="D54" s="55" t="s">
        <v>118</v>
      </c>
      <c r="E54" s="55" t="s">
        <v>117</v>
      </c>
      <c r="F54" s="55" t="s">
        <v>116</v>
      </c>
      <c r="G54" s="55" t="s">
        <v>137</v>
      </c>
      <c r="H54" s="56">
        <v>4447</v>
      </c>
      <c r="I54" s="57">
        <f t="shared" si="0"/>
        <v>88.94</v>
      </c>
      <c r="J54" s="6"/>
    </row>
    <row r="55" spans="2:10">
      <c r="B55" s="55">
        <v>50</v>
      </c>
      <c r="C55" s="55">
        <v>72</v>
      </c>
      <c r="D55" s="55" t="s">
        <v>118</v>
      </c>
      <c r="E55" s="55" t="s">
        <v>117</v>
      </c>
      <c r="F55" s="55" t="s">
        <v>116</v>
      </c>
      <c r="G55" s="55" t="s">
        <v>138</v>
      </c>
      <c r="H55" s="56">
        <v>5008</v>
      </c>
      <c r="I55" s="57">
        <f t="shared" si="0"/>
        <v>100.16</v>
      </c>
      <c r="J55" s="6"/>
    </row>
    <row r="56" spans="2:10">
      <c r="B56" s="55">
        <v>60</v>
      </c>
      <c r="C56" s="55">
        <v>77</v>
      </c>
      <c r="D56" s="55" t="s">
        <v>118</v>
      </c>
      <c r="E56" s="55" t="s">
        <v>117</v>
      </c>
      <c r="F56" s="55" t="s">
        <v>116</v>
      </c>
      <c r="G56" s="55" t="s">
        <v>261</v>
      </c>
      <c r="H56" s="56">
        <v>7714</v>
      </c>
      <c r="I56" s="57">
        <f t="shared" si="0"/>
        <v>128.56666666666666</v>
      </c>
      <c r="J56" s="6"/>
    </row>
    <row r="57" spans="2:10">
      <c r="B57" s="55">
        <v>60</v>
      </c>
      <c r="C57" s="55">
        <v>87</v>
      </c>
      <c r="D57" s="55" t="s">
        <v>118</v>
      </c>
      <c r="E57" s="55" t="s">
        <v>117</v>
      </c>
      <c r="F57" s="55" t="s">
        <v>116</v>
      </c>
      <c r="G57" s="55" t="s">
        <v>131</v>
      </c>
      <c r="H57" s="56">
        <v>5351</v>
      </c>
      <c r="I57" s="57">
        <f t="shared" si="0"/>
        <v>89.183333333333337</v>
      </c>
      <c r="J57" s="6"/>
    </row>
    <row r="58" spans="2:10">
      <c r="B58" s="55">
        <v>60</v>
      </c>
      <c r="C58" s="55">
        <v>87</v>
      </c>
      <c r="D58" s="55" t="s">
        <v>118</v>
      </c>
      <c r="E58" s="55" t="s">
        <v>117</v>
      </c>
      <c r="F58" s="55" t="s">
        <v>116</v>
      </c>
      <c r="G58" s="55" t="s">
        <v>134</v>
      </c>
      <c r="H58" s="56">
        <v>5603</v>
      </c>
      <c r="I58" s="57">
        <f t="shared" si="0"/>
        <v>93.38333333333334</v>
      </c>
      <c r="J58" s="6"/>
    </row>
    <row r="59" spans="2:10">
      <c r="B59" s="55">
        <v>60</v>
      </c>
      <c r="C59" s="55">
        <v>87</v>
      </c>
      <c r="D59" s="55" t="s">
        <v>118</v>
      </c>
      <c r="E59" s="55" t="s">
        <v>117</v>
      </c>
      <c r="F59" s="55" t="s">
        <v>116</v>
      </c>
      <c r="G59" s="55" t="s">
        <v>132</v>
      </c>
      <c r="H59" s="56">
        <v>5347</v>
      </c>
      <c r="I59" s="57">
        <f t="shared" si="0"/>
        <v>89.11666666666666</v>
      </c>
      <c r="J59" s="6"/>
    </row>
    <row r="60" spans="2:10">
      <c r="B60" s="55">
        <v>60</v>
      </c>
      <c r="C60" s="55">
        <v>87</v>
      </c>
      <c r="D60" s="55" t="s">
        <v>118</v>
      </c>
      <c r="E60" s="55" t="s">
        <v>117</v>
      </c>
      <c r="F60" s="55" t="s">
        <v>116</v>
      </c>
      <c r="G60" s="55" t="s">
        <v>133</v>
      </c>
      <c r="H60" s="56">
        <v>6188</v>
      </c>
      <c r="I60" s="57">
        <f t="shared" si="0"/>
        <v>103.13333333333334</v>
      </c>
      <c r="J60" s="6"/>
    </row>
    <row r="61" spans="2:10">
      <c r="B61" s="55">
        <v>75</v>
      </c>
      <c r="C61" s="55">
        <v>96</v>
      </c>
      <c r="D61" s="55" t="s">
        <v>118</v>
      </c>
      <c r="E61" s="55" t="s">
        <v>117</v>
      </c>
      <c r="F61" s="55" t="s">
        <v>116</v>
      </c>
      <c r="G61" s="55" t="s">
        <v>262</v>
      </c>
      <c r="H61" s="56">
        <v>8281</v>
      </c>
      <c r="I61" s="57">
        <f t="shared" si="0"/>
        <v>110.41333333333333</v>
      </c>
      <c r="J61" s="6"/>
    </row>
    <row r="62" spans="2:10">
      <c r="B62" s="55">
        <v>75</v>
      </c>
      <c r="C62" s="55">
        <v>105</v>
      </c>
      <c r="D62" s="55" t="s">
        <v>118</v>
      </c>
      <c r="E62" s="55" t="s">
        <v>118</v>
      </c>
      <c r="F62" s="55" t="s">
        <v>118</v>
      </c>
      <c r="G62" s="55" t="s">
        <v>127</v>
      </c>
      <c r="H62" s="56">
        <v>6609</v>
      </c>
      <c r="I62" s="57">
        <f t="shared" si="0"/>
        <v>88.12</v>
      </c>
      <c r="J62" s="6"/>
    </row>
    <row r="63" spans="2:10">
      <c r="B63" s="55">
        <v>75</v>
      </c>
      <c r="C63" s="55">
        <v>105</v>
      </c>
      <c r="D63" s="55" t="s">
        <v>118</v>
      </c>
      <c r="E63" s="55" t="s">
        <v>118</v>
      </c>
      <c r="F63" s="55" t="s">
        <v>118</v>
      </c>
      <c r="G63" s="55" t="s">
        <v>129</v>
      </c>
      <c r="H63" s="56">
        <v>6556</v>
      </c>
      <c r="I63" s="57">
        <f t="shared" si="0"/>
        <v>87.413333333333327</v>
      </c>
    </row>
    <row r="64" spans="2:10">
      <c r="B64" s="55">
        <v>75</v>
      </c>
      <c r="C64" s="55">
        <v>105</v>
      </c>
      <c r="D64" s="55" t="s">
        <v>118</v>
      </c>
      <c r="E64" s="55" t="s">
        <v>118</v>
      </c>
      <c r="F64" s="55" t="s">
        <v>118</v>
      </c>
      <c r="G64" s="55" t="s">
        <v>130</v>
      </c>
      <c r="H64" s="56">
        <v>6417</v>
      </c>
      <c r="I64" s="57">
        <f t="shared" si="0"/>
        <v>85.56</v>
      </c>
    </row>
    <row r="65" spans="2:9">
      <c r="B65" s="55">
        <v>75</v>
      </c>
      <c r="C65" s="55">
        <v>105</v>
      </c>
      <c r="D65" s="55" t="s">
        <v>118</v>
      </c>
      <c r="E65" s="55" t="s">
        <v>118</v>
      </c>
      <c r="F65" s="55" t="s">
        <v>118</v>
      </c>
      <c r="G65" s="55" t="s">
        <v>128</v>
      </c>
      <c r="H65" s="56">
        <v>7588</v>
      </c>
      <c r="I65" s="57">
        <f t="shared" si="0"/>
        <v>101.17333333333333</v>
      </c>
    </row>
    <row r="66" spans="2:9">
      <c r="B66" s="55">
        <v>100</v>
      </c>
      <c r="C66" s="55">
        <v>140</v>
      </c>
      <c r="D66" s="55" t="s">
        <v>118</v>
      </c>
      <c r="E66" s="55" t="s">
        <v>118</v>
      </c>
      <c r="F66" s="55" t="s">
        <v>118</v>
      </c>
      <c r="G66" s="55" t="s">
        <v>125</v>
      </c>
      <c r="H66" s="56">
        <v>7670</v>
      </c>
      <c r="I66" s="57">
        <f t="shared" si="0"/>
        <v>76.7</v>
      </c>
    </row>
    <row r="67" spans="2:9">
      <c r="B67" s="55">
        <v>100</v>
      </c>
      <c r="C67" s="55">
        <v>140</v>
      </c>
      <c r="D67" s="55" t="s">
        <v>118</v>
      </c>
      <c r="E67" s="55" t="s">
        <v>118</v>
      </c>
      <c r="F67" s="55" t="s">
        <v>118</v>
      </c>
      <c r="G67" s="55" t="s">
        <v>126</v>
      </c>
      <c r="H67" s="56">
        <v>8207</v>
      </c>
      <c r="I67" s="57">
        <f t="shared" si="0"/>
        <v>82.07</v>
      </c>
    </row>
    <row r="68" spans="2:9">
      <c r="B68" s="55">
        <v>100</v>
      </c>
      <c r="C68" s="55">
        <v>140</v>
      </c>
      <c r="D68" s="55" t="s">
        <v>118</v>
      </c>
      <c r="E68" s="55" t="s">
        <v>118</v>
      </c>
      <c r="F68" s="55" t="s">
        <v>118</v>
      </c>
      <c r="G68" s="55" t="s">
        <v>123</v>
      </c>
      <c r="H68" s="56">
        <v>8097</v>
      </c>
      <c r="I68" s="57">
        <f t="shared" ref="I68:I74" si="1">H68/B68</f>
        <v>80.97</v>
      </c>
    </row>
    <row r="69" spans="2:9">
      <c r="B69" s="84">
        <v>100</v>
      </c>
      <c r="C69" s="55">
        <v>140</v>
      </c>
      <c r="D69" s="55" t="s">
        <v>118</v>
      </c>
      <c r="E69" s="55" t="s">
        <v>118</v>
      </c>
      <c r="F69" s="55" t="s">
        <v>118</v>
      </c>
      <c r="G69" s="55" t="s">
        <v>124</v>
      </c>
      <c r="H69" s="56">
        <v>9768</v>
      </c>
      <c r="I69" s="57">
        <f t="shared" si="1"/>
        <v>97.68</v>
      </c>
    </row>
    <row r="70" spans="2:9">
      <c r="B70" s="55">
        <v>125</v>
      </c>
      <c r="C70" s="55">
        <v>170</v>
      </c>
      <c r="D70" s="55" t="s">
        <v>118</v>
      </c>
      <c r="E70" s="55" t="s">
        <v>118</v>
      </c>
      <c r="F70" s="55" t="s">
        <v>118</v>
      </c>
      <c r="G70" s="55" t="s">
        <v>122</v>
      </c>
      <c r="H70" s="56">
        <v>10463</v>
      </c>
      <c r="I70" s="57">
        <f t="shared" si="1"/>
        <v>83.703999999999994</v>
      </c>
    </row>
    <row r="71" spans="2:9">
      <c r="B71" s="84">
        <v>125</v>
      </c>
      <c r="C71" s="55">
        <v>170</v>
      </c>
      <c r="D71" s="55" t="s">
        <v>118</v>
      </c>
      <c r="E71" s="55" t="s">
        <v>118</v>
      </c>
      <c r="F71" s="55" t="s">
        <v>118</v>
      </c>
      <c r="G71" s="55" t="s">
        <v>121</v>
      </c>
      <c r="H71" s="56">
        <v>9082</v>
      </c>
      <c r="I71" s="57">
        <f t="shared" si="1"/>
        <v>72.656000000000006</v>
      </c>
    </row>
    <row r="72" spans="2:9">
      <c r="B72" s="55">
        <v>150</v>
      </c>
      <c r="C72" s="55">
        <v>205</v>
      </c>
      <c r="D72" s="55" t="s">
        <v>118</v>
      </c>
      <c r="E72" s="55" t="s">
        <v>118</v>
      </c>
      <c r="F72" s="55" t="s">
        <v>118</v>
      </c>
      <c r="G72" s="55" t="s">
        <v>120</v>
      </c>
      <c r="H72" s="56">
        <v>11219</v>
      </c>
      <c r="I72" s="57">
        <f t="shared" si="1"/>
        <v>74.793333333333337</v>
      </c>
    </row>
    <row r="73" spans="2:9">
      <c r="B73" s="84">
        <v>200</v>
      </c>
      <c r="C73" s="55">
        <v>261</v>
      </c>
      <c r="D73" s="55" t="s">
        <v>118</v>
      </c>
      <c r="E73" s="55" t="s">
        <v>118</v>
      </c>
      <c r="F73" s="55" t="s">
        <v>118</v>
      </c>
      <c r="G73" s="55" t="s">
        <v>119</v>
      </c>
      <c r="H73" s="56">
        <v>12953</v>
      </c>
      <c r="I73" s="57">
        <f t="shared" si="1"/>
        <v>64.765000000000001</v>
      </c>
    </row>
    <row r="74" spans="2:9">
      <c r="B74" s="55">
        <v>250</v>
      </c>
      <c r="C74" s="55">
        <v>300</v>
      </c>
      <c r="D74" s="55" t="s">
        <v>118</v>
      </c>
      <c r="E74" s="55" t="s">
        <v>118</v>
      </c>
      <c r="F74" s="55" t="s">
        <v>118</v>
      </c>
      <c r="G74" s="55" t="s">
        <v>115</v>
      </c>
      <c r="H74" s="56">
        <v>19468</v>
      </c>
      <c r="I74" s="57">
        <f t="shared" si="1"/>
        <v>77.872</v>
      </c>
    </row>
    <row r="75" spans="2:9">
      <c r="B75" s="83"/>
    </row>
    <row r="77" spans="2:9">
      <c r="B77" s="83"/>
    </row>
    <row r="79" spans="2:9">
      <c r="B79" s="83"/>
    </row>
    <row r="81" spans="2:2">
      <c r="B81" s="83"/>
    </row>
    <row r="83" spans="2:2">
      <c r="B83" s="83"/>
    </row>
    <row r="85" spans="2:2">
      <c r="B85" s="83"/>
    </row>
    <row r="87" spans="2:2">
      <c r="B87" s="83"/>
    </row>
    <row r="89" spans="2:2">
      <c r="B89" s="83"/>
    </row>
    <row r="91" spans="2:2">
      <c r="B91" s="83"/>
    </row>
    <row r="93" spans="2:2">
      <c r="B93" s="83"/>
    </row>
    <row r="95" spans="2:2">
      <c r="B95" s="83"/>
    </row>
    <row r="97" spans="2:2">
      <c r="B97" s="83"/>
    </row>
    <row r="99" spans="2:2">
      <c r="B99" s="83"/>
    </row>
    <row r="101" spans="2:2">
      <c r="B101" s="83"/>
    </row>
    <row r="103" spans="2:2">
      <c r="B103" s="83"/>
    </row>
    <row r="105" spans="2:2">
      <c r="B105" s="83"/>
    </row>
    <row r="107" spans="2:2">
      <c r="B107" s="83"/>
    </row>
    <row r="109" spans="2:2">
      <c r="B109" s="83"/>
    </row>
    <row r="111" spans="2:2">
      <c r="B111" s="83"/>
    </row>
    <row r="113" spans="2:2">
      <c r="B113" s="83"/>
    </row>
    <row r="115" spans="2:2">
      <c r="B115" s="83"/>
    </row>
    <row r="117" spans="2:2">
      <c r="B117" s="83"/>
    </row>
    <row r="119" spans="2:2">
      <c r="B119" s="83"/>
    </row>
    <row r="121" spans="2:2">
      <c r="B121" s="83"/>
    </row>
    <row r="123" spans="2:2">
      <c r="B123" s="83"/>
    </row>
    <row r="125" spans="2:2">
      <c r="B125" s="83"/>
    </row>
    <row r="127" spans="2:2">
      <c r="B127" s="83"/>
    </row>
    <row r="129" spans="2:2">
      <c r="B129" s="83"/>
    </row>
    <row r="131" spans="2:2">
      <c r="B131" s="83"/>
    </row>
    <row r="133" spans="2:2">
      <c r="B133" s="83"/>
    </row>
    <row r="135" spans="2:2">
      <c r="B135" s="83"/>
    </row>
    <row r="137" spans="2:2">
      <c r="B137" s="83"/>
    </row>
    <row r="139" spans="2:2">
      <c r="B139" s="83"/>
    </row>
    <row r="141" spans="2:2">
      <c r="B141" s="83"/>
    </row>
    <row r="143" spans="2:2">
      <c r="B143" s="83"/>
    </row>
    <row r="145" spans="2:2">
      <c r="B145" s="83"/>
    </row>
    <row r="147" spans="2:2">
      <c r="B147" s="83"/>
    </row>
    <row r="149" spans="2:2">
      <c r="B149" s="83"/>
    </row>
    <row r="151" spans="2:2">
      <c r="B151" s="83"/>
    </row>
    <row r="153" spans="2:2">
      <c r="B153" s="83"/>
    </row>
    <row r="155" spans="2:2">
      <c r="B155" s="83"/>
    </row>
    <row r="157" spans="2:2">
      <c r="B157" s="83"/>
    </row>
    <row r="159" spans="2:2">
      <c r="B159" s="83"/>
    </row>
    <row r="161" spans="2:2">
      <c r="B161" s="83"/>
    </row>
    <row r="163" spans="2:2">
      <c r="B163" s="83"/>
    </row>
    <row r="165" spans="2:2">
      <c r="B165" s="83"/>
    </row>
    <row r="167" spans="2:2">
      <c r="B167" s="83"/>
    </row>
    <row r="169" spans="2:2">
      <c r="B169" s="83"/>
    </row>
    <row r="171" spans="2:2">
      <c r="B171" s="83"/>
    </row>
    <row r="173" spans="2:2">
      <c r="B173" s="83"/>
    </row>
    <row r="175" spans="2:2">
      <c r="B175" s="83"/>
    </row>
    <row r="177" spans="2:2">
      <c r="B177" s="83"/>
    </row>
    <row r="179" spans="2:2">
      <c r="B179" s="83"/>
    </row>
    <row r="181" spans="2:2">
      <c r="B181" s="83"/>
    </row>
    <row r="183" spans="2:2">
      <c r="B183" s="83"/>
    </row>
    <row r="185" spans="2:2">
      <c r="B185" s="83"/>
    </row>
    <row r="187" spans="2:2">
      <c r="B187" s="83"/>
    </row>
    <row r="189" spans="2:2">
      <c r="B189" s="83"/>
    </row>
    <row r="191" spans="2:2">
      <c r="B191" s="83"/>
    </row>
    <row r="193" spans="2:2">
      <c r="B193" s="83"/>
    </row>
    <row r="195" spans="2:2">
      <c r="B195" s="83"/>
    </row>
    <row r="197" spans="2:2">
      <c r="B197" s="83"/>
    </row>
    <row r="199" spans="2:2">
      <c r="B199" s="83"/>
    </row>
    <row r="201" spans="2:2">
      <c r="B201" s="83"/>
    </row>
    <row r="203" spans="2:2">
      <c r="B203" s="83"/>
    </row>
    <row r="205" spans="2:2">
      <c r="B205" s="83"/>
    </row>
    <row r="207" spans="2:2">
      <c r="B207" s="83"/>
    </row>
    <row r="209" spans="2:2">
      <c r="B209" s="83"/>
    </row>
    <row r="211" spans="2:2">
      <c r="B211" s="83"/>
    </row>
  </sheetData>
  <mergeCells count="1">
    <mergeCell ref="K2:M2"/>
  </mergeCell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BB94"/>
  <sheetViews>
    <sheetView topLeftCell="K1" zoomScale="70" zoomScaleNormal="70" workbookViewId="0">
      <selection activeCell="M27" sqref="M27"/>
    </sheetView>
  </sheetViews>
  <sheetFormatPr defaultRowHeight="14.4"/>
  <cols>
    <col min="1" max="1" width="15.44140625" customWidth="1"/>
    <col min="2" max="2" width="16" customWidth="1"/>
    <col min="3" max="3" width="11.44140625" bestFit="1" customWidth="1"/>
    <col min="4" max="4" width="16.5546875" bestFit="1" customWidth="1"/>
    <col min="5" max="5" width="19.44140625" customWidth="1"/>
    <col min="6" max="6" width="19" bestFit="1" customWidth="1"/>
    <col min="9" max="9" width="40.21875" style="17" customWidth="1"/>
    <col min="10" max="20" width="10.5546875" customWidth="1"/>
    <col min="21" max="21" width="12.77734375" customWidth="1"/>
    <col min="22" max="22" width="12.21875" customWidth="1"/>
    <col min="23" max="23" width="10.5546875" customWidth="1"/>
    <col min="24" max="25" width="12" customWidth="1"/>
    <col min="26" max="26" width="8.5546875" customWidth="1"/>
    <col min="27" max="27" width="19.44140625" style="44" customWidth="1"/>
    <col min="28" max="28" width="17.21875" style="44" customWidth="1"/>
    <col min="29" max="29" width="19.5546875" style="44" customWidth="1"/>
    <col min="30" max="30" width="3.44140625" customWidth="1"/>
    <col min="36" max="36" width="9.21875" customWidth="1"/>
  </cols>
  <sheetData>
    <row r="2" spans="1:54" ht="18">
      <c r="A2" s="31" t="s">
        <v>78</v>
      </c>
    </row>
    <row r="3" spans="1:54">
      <c r="A3" s="13" t="s">
        <v>72</v>
      </c>
      <c r="C3" t="s">
        <v>30</v>
      </c>
      <c r="D3" t="s">
        <v>31</v>
      </c>
      <c r="E3" t="s">
        <v>32</v>
      </c>
      <c r="F3" t="s">
        <v>33</v>
      </c>
      <c r="I3"/>
    </row>
    <row r="4" spans="1:54">
      <c r="A4" t="s">
        <v>46</v>
      </c>
      <c r="B4" t="s">
        <v>34</v>
      </c>
      <c r="C4" s="14">
        <v>8400</v>
      </c>
      <c r="D4">
        <v>13</v>
      </c>
      <c r="E4">
        <v>4.3</v>
      </c>
      <c r="F4" s="14">
        <v>35919</v>
      </c>
    </row>
    <row r="5" spans="1:54" ht="15" thickBot="1">
      <c r="A5" t="s">
        <v>47</v>
      </c>
      <c r="B5" t="s">
        <v>34</v>
      </c>
      <c r="C5" s="14">
        <v>8400</v>
      </c>
      <c r="D5">
        <v>13</v>
      </c>
      <c r="E5">
        <v>3.4</v>
      </c>
      <c r="F5" s="14">
        <v>28758</v>
      </c>
      <c r="I5" s="16" t="s">
        <v>49</v>
      </c>
    </row>
    <row r="6" spans="1:54" ht="15" thickBot="1">
      <c r="A6" s="13" t="s">
        <v>48</v>
      </c>
      <c r="B6" s="13"/>
      <c r="C6" s="13"/>
      <c r="D6" s="13"/>
      <c r="E6" s="13">
        <f>E4-E5</f>
        <v>0.89999999999999991</v>
      </c>
      <c r="F6" s="15">
        <f>F4-F5</f>
        <v>7161</v>
      </c>
      <c r="AA6" s="109" t="s">
        <v>48</v>
      </c>
      <c r="AB6" s="110"/>
      <c r="AC6" s="111"/>
    </row>
    <row r="7" spans="1:54">
      <c r="I7" s="16" t="s">
        <v>0</v>
      </c>
      <c r="J7" s="16">
        <v>5</v>
      </c>
      <c r="K7" s="16">
        <v>7.5</v>
      </c>
      <c r="L7" s="16">
        <v>10</v>
      </c>
      <c r="M7" s="16">
        <v>15</v>
      </c>
      <c r="N7" s="16">
        <v>20</v>
      </c>
      <c r="O7" s="13">
        <v>25</v>
      </c>
      <c r="P7" s="13">
        <v>50</v>
      </c>
      <c r="Q7" s="13">
        <v>75</v>
      </c>
      <c r="R7" s="13">
        <v>100</v>
      </c>
      <c r="S7" s="13">
        <v>125</v>
      </c>
      <c r="T7" s="13">
        <v>150</v>
      </c>
      <c r="U7" s="13">
        <v>200</v>
      </c>
      <c r="V7" s="13">
        <v>250</v>
      </c>
      <c r="W7" s="13">
        <v>300</v>
      </c>
      <c r="X7" s="13">
        <v>400</v>
      </c>
      <c r="Y7" s="13">
        <v>500</v>
      </c>
      <c r="AA7" s="73" t="s">
        <v>237</v>
      </c>
      <c r="AB7" s="74" t="s">
        <v>238</v>
      </c>
      <c r="AC7" s="75" t="s">
        <v>239</v>
      </c>
    </row>
    <row r="8" spans="1:54">
      <c r="A8" s="13" t="s">
        <v>73</v>
      </c>
      <c r="C8" t="s">
        <v>30</v>
      </c>
      <c r="D8" t="s">
        <v>31</v>
      </c>
      <c r="E8" t="s">
        <v>32</v>
      </c>
      <c r="F8" t="s">
        <v>33</v>
      </c>
      <c r="H8" s="13"/>
      <c r="I8" s="16" t="s">
        <v>50</v>
      </c>
      <c r="J8" s="33">
        <f>E4</f>
        <v>4.3</v>
      </c>
      <c r="K8" s="33">
        <f>E9</f>
        <v>6.3</v>
      </c>
      <c r="L8" s="34">
        <f>E14</f>
        <v>8.1999999999999993</v>
      </c>
      <c r="M8" s="34">
        <f>E19</f>
        <v>12.1</v>
      </c>
      <c r="N8" s="34">
        <f>E24</f>
        <v>15.7</v>
      </c>
      <c r="O8" s="18">
        <f>E29</f>
        <v>19.600000000000001</v>
      </c>
      <c r="P8" s="18">
        <f>E34</f>
        <v>38</v>
      </c>
      <c r="Q8" s="18">
        <f>E39</f>
        <v>56.8</v>
      </c>
      <c r="R8" s="18">
        <f>E44</f>
        <v>75.8</v>
      </c>
      <c r="S8" s="18">
        <f>E49</f>
        <v>94.5</v>
      </c>
      <c r="T8" s="18">
        <f>E54</f>
        <v>112.5</v>
      </c>
      <c r="U8" s="18">
        <f>E59</f>
        <v>148.19999999999999</v>
      </c>
      <c r="V8" s="18">
        <f>E64</f>
        <v>185.1</v>
      </c>
      <c r="W8" s="18">
        <f>E69</f>
        <v>221.2</v>
      </c>
      <c r="X8" s="18">
        <f>E74</f>
        <v>294.10000000000002</v>
      </c>
      <c r="Y8" s="18">
        <f>E79</f>
        <v>367.6</v>
      </c>
      <c r="Z8" s="13"/>
      <c r="AA8" s="76" t="s">
        <v>235</v>
      </c>
      <c r="AB8" s="68">
        <f>AVERAGE(J23:L23)</f>
        <v>0.15930158730158731</v>
      </c>
      <c r="AC8" s="77">
        <f>AVERAGE(J19:L19)</f>
        <v>465.16063492063495</v>
      </c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</row>
    <row r="9" spans="1:54" ht="15" thickBot="1">
      <c r="A9" t="s">
        <v>46</v>
      </c>
      <c r="B9" t="s">
        <v>34</v>
      </c>
      <c r="C9" s="14">
        <v>8400</v>
      </c>
      <c r="D9">
        <v>19</v>
      </c>
      <c r="E9">
        <v>6.3</v>
      </c>
      <c r="F9" s="14">
        <v>52635</v>
      </c>
      <c r="I9" s="16" t="s">
        <v>51</v>
      </c>
      <c r="J9" s="33">
        <f>E5</f>
        <v>3.4</v>
      </c>
      <c r="K9" s="33">
        <f>E10</f>
        <v>5.0999999999999996</v>
      </c>
      <c r="L9" s="34">
        <f>E15</f>
        <v>6.8</v>
      </c>
      <c r="M9" s="34">
        <f>E20</f>
        <v>10.1</v>
      </c>
      <c r="N9" s="34">
        <f>E25</f>
        <v>13.1</v>
      </c>
      <c r="O9" s="18">
        <f>E30</f>
        <v>16.3</v>
      </c>
      <c r="P9" s="18">
        <f>E35</f>
        <v>32</v>
      </c>
      <c r="Q9" s="18">
        <f>E40</f>
        <v>48</v>
      </c>
      <c r="R9" s="18">
        <f>E45</f>
        <v>64.099999999999994</v>
      </c>
      <c r="S9" s="18">
        <f>E50</f>
        <v>79.5</v>
      </c>
      <c r="T9" s="18">
        <f>E55</f>
        <v>94.7</v>
      </c>
      <c r="U9" s="18">
        <f>E60</f>
        <v>124.9</v>
      </c>
      <c r="V9" s="18">
        <f>E65</f>
        <v>156.9</v>
      </c>
      <c r="W9" s="18">
        <f>E70</f>
        <v>187.2</v>
      </c>
      <c r="X9" s="18">
        <f>E75</f>
        <v>248.8</v>
      </c>
      <c r="Y9" s="18">
        <f>E80</f>
        <v>310.8</v>
      </c>
      <c r="AA9" s="78" t="s">
        <v>236</v>
      </c>
      <c r="AB9" s="79">
        <f>AVERAGE(M23:N23)</f>
        <v>0.13184623015873015</v>
      </c>
      <c r="AC9" s="80">
        <f>AVERAGE(M19:N19)</f>
        <v>384.99099206349194</v>
      </c>
    </row>
    <row r="10" spans="1:54">
      <c r="A10" t="s">
        <v>47</v>
      </c>
      <c r="B10" t="s">
        <v>34</v>
      </c>
      <c r="C10" s="14">
        <v>8400</v>
      </c>
      <c r="D10">
        <v>19</v>
      </c>
      <c r="E10">
        <v>5.0999999999999996</v>
      </c>
      <c r="F10" s="14">
        <v>42630</v>
      </c>
      <c r="I10" s="16" t="s">
        <v>52</v>
      </c>
      <c r="J10" s="34">
        <f>F4</f>
        <v>35919</v>
      </c>
      <c r="K10" s="34">
        <f>F9</f>
        <v>52635</v>
      </c>
      <c r="L10" s="34">
        <f>F14</f>
        <v>69207</v>
      </c>
      <c r="M10" s="34">
        <f>F19</f>
        <v>101787</v>
      </c>
      <c r="N10" s="34">
        <f>F24</f>
        <v>132299</v>
      </c>
      <c r="O10" s="19">
        <f>F29</f>
        <v>164238</v>
      </c>
      <c r="P10" s="19">
        <f>F34</f>
        <v>319059</v>
      </c>
      <c r="Q10" s="19">
        <f>F39</f>
        <v>477222</v>
      </c>
      <c r="R10" s="19">
        <f>F44</f>
        <v>637138</v>
      </c>
      <c r="S10" s="19">
        <f>F49</f>
        <v>793744</v>
      </c>
      <c r="T10" s="19">
        <f>F54</f>
        <v>944843</v>
      </c>
      <c r="U10" s="19">
        <f>F59</f>
        <v>1244969</v>
      </c>
      <c r="V10" s="19">
        <f>F64</f>
        <v>1555256</v>
      </c>
      <c r="W10" s="19">
        <f>F69</f>
        <v>1858487</v>
      </c>
      <c r="X10" s="19">
        <f>F74</f>
        <v>2470379</v>
      </c>
      <c r="Y10" s="19">
        <f>F79</f>
        <v>3087936</v>
      </c>
    </row>
    <row r="11" spans="1:54" ht="15" thickBot="1">
      <c r="A11" s="13" t="s">
        <v>48</v>
      </c>
      <c r="E11" s="13">
        <f>E9-E10</f>
        <v>1.2000000000000002</v>
      </c>
      <c r="F11" s="15">
        <f>F9-F10</f>
        <v>10005</v>
      </c>
      <c r="I11" s="16" t="s">
        <v>53</v>
      </c>
      <c r="J11" s="34">
        <f>F5</f>
        <v>28758</v>
      </c>
      <c r="K11" s="34">
        <f>F10</f>
        <v>42630</v>
      </c>
      <c r="L11" s="34">
        <f>F15</f>
        <v>56725</v>
      </c>
      <c r="M11" s="34">
        <f>F20</f>
        <v>85076</v>
      </c>
      <c r="N11" s="34">
        <f>F25</f>
        <v>110280</v>
      </c>
      <c r="O11" s="19">
        <f>F30</f>
        <v>137117</v>
      </c>
      <c r="P11" s="19">
        <f>F35</f>
        <v>269115</v>
      </c>
      <c r="Q11" s="19">
        <f>F40</f>
        <v>403619</v>
      </c>
      <c r="R11" s="19">
        <f>F45</f>
        <v>538170</v>
      </c>
      <c r="S11" s="19">
        <f>F50</f>
        <v>668121</v>
      </c>
      <c r="T11" s="19">
        <f>F55</f>
        <v>795186</v>
      </c>
      <c r="U11" s="19">
        <f>F60</f>
        <v>1048882</v>
      </c>
      <c r="V11" s="19">
        <f>F65</f>
        <v>1317664</v>
      </c>
      <c r="W11" s="19">
        <f>F70</f>
        <v>1572747</v>
      </c>
      <c r="X11" s="19">
        <f>F75</f>
        <v>2089661</v>
      </c>
      <c r="Y11" s="19">
        <f>F80</f>
        <v>2610853</v>
      </c>
    </row>
    <row r="12" spans="1:54" ht="15" thickBot="1">
      <c r="A12" s="13"/>
      <c r="E12" s="13"/>
      <c r="F12" s="15"/>
      <c r="I12" s="16"/>
      <c r="J12" s="16"/>
      <c r="K12" s="16"/>
      <c r="L12" s="16"/>
      <c r="M12" s="16"/>
      <c r="N12" s="16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AA12" s="109" t="s">
        <v>221</v>
      </c>
      <c r="AB12" s="110"/>
      <c r="AC12" s="111"/>
    </row>
    <row r="13" spans="1:54">
      <c r="A13" s="13" t="s">
        <v>75</v>
      </c>
      <c r="C13" t="s">
        <v>30</v>
      </c>
      <c r="D13" t="s">
        <v>31</v>
      </c>
      <c r="E13" s="19" t="s">
        <v>32</v>
      </c>
      <c r="F13" t="s">
        <v>33</v>
      </c>
      <c r="H13" s="13"/>
      <c r="I13" s="16" t="s">
        <v>55</v>
      </c>
      <c r="J13" s="19">
        <f t="shared" ref="J13:N14" si="0">J10*$J$27/$J$26</f>
        <v>12486.128571428571</v>
      </c>
      <c r="K13" s="19">
        <f t="shared" si="0"/>
        <v>18296.928571428572</v>
      </c>
      <c r="L13" s="19">
        <f t="shared" si="0"/>
        <v>24057.67142857143</v>
      </c>
      <c r="M13" s="19">
        <f t="shared" si="0"/>
        <v>35383.1</v>
      </c>
      <c r="N13" s="19">
        <f t="shared" si="0"/>
        <v>45989.652380952379</v>
      </c>
      <c r="O13" s="19">
        <f t="shared" ref="O13:Y13" si="1">O10*$J$27/$J$26</f>
        <v>57092.257142857146</v>
      </c>
      <c r="P13" s="19">
        <f t="shared" si="1"/>
        <v>110910.98571428571</v>
      </c>
      <c r="Q13" s="19">
        <f t="shared" si="1"/>
        <v>165891.45714285714</v>
      </c>
      <c r="R13" s="19">
        <f t="shared" si="1"/>
        <v>221481.30476190476</v>
      </c>
      <c r="S13" s="19">
        <f t="shared" si="1"/>
        <v>275920.53333333333</v>
      </c>
      <c r="T13" s="19">
        <f t="shared" si="1"/>
        <v>328445.42380952381</v>
      </c>
      <c r="U13" s="19">
        <f t="shared" si="1"/>
        <v>432774.93809523812</v>
      </c>
      <c r="V13" s="19">
        <f t="shared" si="1"/>
        <v>540636.60952380951</v>
      </c>
      <c r="W13" s="19">
        <f t="shared" si="1"/>
        <v>646045.48095238092</v>
      </c>
      <c r="X13" s="19">
        <f t="shared" si="1"/>
        <v>858750.79523809522</v>
      </c>
      <c r="Y13" s="19">
        <f t="shared" si="1"/>
        <v>1073425.3714285714</v>
      </c>
      <c r="Z13" s="13"/>
      <c r="AA13" s="73" t="s">
        <v>237</v>
      </c>
      <c r="AB13" s="74" t="s">
        <v>238</v>
      </c>
      <c r="AC13" s="75" t="s">
        <v>239</v>
      </c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</row>
    <row r="14" spans="1:54">
      <c r="A14" t="s">
        <v>46</v>
      </c>
      <c r="B14" t="s">
        <v>34</v>
      </c>
      <c r="C14" s="14">
        <v>8400</v>
      </c>
      <c r="D14">
        <v>27</v>
      </c>
      <c r="E14" s="19">
        <v>8.1999999999999993</v>
      </c>
      <c r="F14" s="14">
        <v>69207</v>
      </c>
      <c r="I14" s="16" t="s">
        <v>56</v>
      </c>
      <c r="J14" s="19">
        <f t="shared" si="0"/>
        <v>9996.8285714285721</v>
      </c>
      <c r="K14" s="19">
        <f t="shared" si="0"/>
        <v>14819</v>
      </c>
      <c r="L14" s="19">
        <f t="shared" si="0"/>
        <v>19718.690476190477</v>
      </c>
      <c r="M14" s="19">
        <f t="shared" si="0"/>
        <v>29574.038095238095</v>
      </c>
      <c r="N14" s="19">
        <f t="shared" si="0"/>
        <v>38335.428571428572</v>
      </c>
      <c r="O14" s="19">
        <f t="shared" ref="O14:Y14" si="2">O11*$J$27/$J$26</f>
        <v>47664.480952380953</v>
      </c>
      <c r="P14" s="19">
        <f t="shared" si="2"/>
        <v>93549.5</v>
      </c>
      <c r="Q14" s="19">
        <f t="shared" si="2"/>
        <v>140305.65238095238</v>
      </c>
      <c r="R14" s="19">
        <f t="shared" si="2"/>
        <v>187078.14285714287</v>
      </c>
      <c r="S14" s="19">
        <f t="shared" si="2"/>
        <v>232251.58571428573</v>
      </c>
      <c r="T14" s="19">
        <f t="shared" si="2"/>
        <v>276421.8</v>
      </c>
      <c r="U14" s="19">
        <f t="shared" si="2"/>
        <v>364611.36190476193</v>
      </c>
      <c r="V14" s="19">
        <f t="shared" si="2"/>
        <v>458045.10476190475</v>
      </c>
      <c r="W14" s="19">
        <f t="shared" si="2"/>
        <v>546716.8142857143</v>
      </c>
      <c r="X14" s="19">
        <f t="shared" si="2"/>
        <v>726405.96666666667</v>
      </c>
      <c r="Y14" s="19">
        <f t="shared" si="2"/>
        <v>907582.23333333328</v>
      </c>
      <c r="AA14" s="76" t="s">
        <v>235</v>
      </c>
      <c r="AB14" s="68">
        <f>AVERAGE(J21:L21)</f>
        <v>0.83819444444444446</v>
      </c>
      <c r="AC14" s="77">
        <f>AVERAGE(J17:L17)</f>
        <v>2447.5277777777778</v>
      </c>
    </row>
    <row r="15" spans="1:54" ht="15" thickBot="1">
      <c r="A15" t="s">
        <v>47</v>
      </c>
      <c r="B15" t="s">
        <v>34</v>
      </c>
      <c r="C15" s="14">
        <v>8400</v>
      </c>
      <c r="D15">
        <v>27</v>
      </c>
      <c r="E15" s="19">
        <v>6.8</v>
      </c>
      <c r="F15" s="14">
        <v>56725</v>
      </c>
      <c r="I15" s="16" t="s">
        <v>61</v>
      </c>
      <c r="J15" s="14">
        <f t="shared" ref="J15:O15" si="3">J13-J14</f>
        <v>2489.2999999999993</v>
      </c>
      <c r="K15" s="14">
        <f t="shared" si="3"/>
        <v>3477.9285714285725</v>
      </c>
      <c r="L15" s="14">
        <f t="shared" si="3"/>
        <v>4338.9809523809527</v>
      </c>
      <c r="M15" s="14">
        <f t="shared" si="3"/>
        <v>5809.0619047619039</v>
      </c>
      <c r="N15" s="14">
        <f t="shared" si="3"/>
        <v>7654.2238095238063</v>
      </c>
      <c r="O15" s="14">
        <f t="shared" si="3"/>
        <v>9427.7761904761937</v>
      </c>
      <c r="P15" s="14">
        <f t="shared" ref="P15:Y15" si="4">P13-P14</f>
        <v>17361.485714285707</v>
      </c>
      <c r="Q15" s="14">
        <f t="shared" si="4"/>
        <v>25585.804761904757</v>
      </c>
      <c r="R15" s="14">
        <f t="shared" si="4"/>
        <v>34403.161904761888</v>
      </c>
      <c r="S15" s="14">
        <f t="shared" si="4"/>
        <v>43668.947619047598</v>
      </c>
      <c r="T15" s="14">
        <f t="shared" si="4"/>
        <v>52023.623809523822</v>
      </c>
      <c r="U15" s="14">
        <f t="shared" si="4"/>
        <v>68163.576190476189</v>
      </c>
      <c r="V15" s="14">
        <f t="shared" si="4"/>
        <v>82591.504761904769</v>
      </c>
      <c r="W15" s="14">
        <f t="shared" si="4"/>
        <v>99328.666666666628</v>
      </c>
      <c r="X15" s="14">
        <f t="shared" si="4"/>
        <v>132344.82857142854</v>
      </c>
      <c r="Y15" s="14">
        <f t="shared" si="4"/>
        <v>165843.13809523813</v>
      </c>
      <c r="AA15" s="78" t="s">
        <v>236</v>
      </c>
      <c r="AB15" s="79">
        <f>AVERAGE(M21:N21)</f>
        <v>0.79766369047619046</v>
      </c>
      <c r="AC15" s="80">
        <f>AVERAGE(M17:N17)</f>
        <v>2329.1779761904763</v>
      </c>
    </row>
    <row r="16" spans="1:54">
      <c r="A16" s="13" t="s">
        <v>48</v>
      </c>
      <c r="E16" s="13">
        <f>E14-E15</f>
        <v>1.3999999999999995</v>
      </c>
      <c r="F16" s="15">
        <f>F14-F15</f>
        <v>12482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6"/>
    </row>
    <row r="17" spans="1:54" ht="15" thickBot="1">
      <c r="A17" s="13"/>
      <c r="E17" s="13"/>
      <c r="F17" s="15"/>
      <c r="I17" s="16" t="s">
        <v>58</v>
      </c>
      <c r="J17" s="14">
        <f>J13/J7</f>
        <v>2497.2257142857143</v>
      </c>
      <c r="K17" s="14">
        <f>K13/K7</f>
        <v>2439.5904761904762</v>
      </c>
      <c r="L17" s="14">
        <f>L13/L7</f>
        <v>2405.767142857143</v>
      </c>
      <c r="M17" s="14">
        <f>M13/M7</f>
        <v>2358.8733333333334</v>
      </c>
      <c r="N17" s="14">
        <f>N13/N7</f>
        <v>2299.4826190476188</v>
      </c>
      <c r="O17" s="14">
        <f t="shared" ref="O17:Y17" si="5">O13/O7</f>
        <v>2283.6902857142859</v>
      </c>
      <c r="P17" s="14">
        <f t="shared" si="5"/>
        <v>2218.219714285714</v>
      </c>
      <c r="Q17" s="14">
        <f t="shared" si="5"/>
        <v>2211.8860952380951</v>
      </c>
      <c r="R17" s="14">
        <f t="shared" si="5"/>
        <v>2214.8130476190477</v>
      </c>
      <c r="S17" s="14">
        <f t="shared" si="5"/>
        <v>2207.3642666666665</v>
      </c>
      <c r="T17" s="14">
        <f t="shared" si="5"/>
        <v>2189.6361587301585</v>
      </c>
      <c r="U17" s="14">
        <f t="shared" si="5"/>
        <v>2163.8746904761906</v>
      </c>
      <c r="V17" s="14">
        <f t="shared" si="5"/>
        <v>2162.546438095238</v>
      </c>
      <c r="W17" s="14">
        <f t="shared" si="5"/>
        <v>2153.4849365079363</v>
      </c>
      <c r="X17" s="14">
        <f t="shared" si="5"/>
        <v>2146.8769880952382</v>
      </c>
      <c r="Y17" s="14">
        <f t="shared" si="5"/>
        <v>2146.8507428571429</v>
      </c>
    </row>
    <row r="18" spans="1:54" ht="15" thickBot="1">
      <c r="A18" s="13" t="s">
        <v>76</v>
      </c>
      <c r="C18" t="s">
        <v>30</v>
      </c>
      <c r="D18" t="s">
        <v>31</v>
      </c>
      <c r="E18" s="19" t="s">
        <v>32</v>
      </c>
      <c r="F18" t="s">
        <v>33</v>
      </c>
      <c r="H18" s="13"/>
      <c r="I18" s="16" t="s">
        <v>59</v>
      </c>
      <c r="J18" s="14">
        <f>J14/J7</f>
        <v>1999.3657142857144</v>
      </c>
      <c r="K18" s="14">
        <f>K14/K7</f>
        <v>1975.8666666666666</v>
      </c>
      <c r="L18" s="14">
        <f>L14/L7</f>
        <v>1971.8690476190477</v>
      </c>
      <c r="M18" s="14">
        <f>M14/M7</f>
        <v>1971.6025396825396</v>
      </c>
      <c r="N18" s="14">
        <f>N14/N7</f>
        <v>1916.7714285714287</v>
      </c>
      <c r="O18" s="14">
        <f t="shared" ref="O18:Y18" si="6">O14/O7</f>
        <v>1906.579238095238</v>
      </c>
      <c r="P18" s="14">
        <f t="shared" si="6"/>
        <v>1870.99</v>
      </c>
      <c r="Q18" s="14">
        <f t="shared" si="6"/>
        <v>1870.7420317460317</v>
      </c>
      <c r="R18" s="14">
        <f t="shared" si="6"/>
        <v>1870.7814285714287</v>
      </c>
      <c r="S18" s="14">
        <f t="shared" si="6"/>
        <v>1858.0126857142859</v>
      </c>
      <c r="T18" s="14">
        <f t="shared" si="6"/>
        <v>1842.8119999999999</v>
      </c>
      <c r="U18" s="14">
        <f t="shared" si="6"/>
        <v>1823.0568095238095</v>
      </c>
      <c r="V18" s="14">
        <f t="shared" si="6"/>
        <v>1832.1804190476189</v>
      </c>
      <c r="W18" s="14">
        <f t="shared" si="6"/>
        <v>1822.3893809523811</v>
      </c>
      <c r="X18" s="14">
        <f t="shared" si="6"/>
        <v>1816.0149166666667</v>
      </c>
      <c r="Y18" s="14">
        <f t="shared" si="6"/>
        <v>1815.1644666666666</v>
      </c>
      <c r="Z18" s="13"/>
      <c r="AA18" s="109" t="s">
        <v>222</v>
      </c>
      <c r="AB18" s="110"/>
      <c r="AC18" s="111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</row>
    <row r="19" spans="1:54">
      <c r="A19" t="s">
        <v>46</v>
      </c>
      <c r="B19" t="s">
        <v>34</v>
      </c>
      <c r="C19" s="14">
        <v>8400</v>
      </c>
      <c r="D19">
        <v>43</v>
      </c>
      <c r="E19" s="19">
        <v>12.1</v>
      </c>
      <c r="F19" s="14">
        <v>101787</v>
      </c>
      <c r="I19" s="16" t="s">
        <v>60</v>
      </c>
      <c r="J19" s="19">
        <f t="shared" ref="J19:O19" si="7">J17-J18</f>
        <v>497.8599999999999</v>
      </c>
      <c r="K19" s="19">
        <f t="shared" si="7"/>
        <v>463.72380952380968</v>
      </c>
      <c r="L19" s="19">
        <f t="shared" si="7"/>
        <v>433.89809523809527</v>
      </c>
      <c r="M19" s="19">
        <f t="shared" si="7"/>
        <v>387.27079365079385</v>
      </c>
      <c r="N19" s="19">
        <f t="shared" si="7"/>
        <v>382.71119047619004</v>
      </c>
      <c r="O19" s="19">
        <f t="shared" si="7"/>
        <v>377.11104761904789</v>
      </c>
      <c r="P19" s="19">
        <f t="shared" ref="P19:Y19" si="8">P17-P18</f>
        <v>347.22971428571395</v>
      </c>
      <c r="Q19" s="19">
        <f t="shared" si="8"/>
        <v>341.14406349206342</v>
      </c>
      <c r="R19" s="19">
        <f t="shared" si="8"/>
        <v>344.03161904761896</v>
      </c>
      <c r="S19" s="19">
        <f t="shared" si="8"/>
        <v>349.35158095238057</v>
      </c>
      <c r="T19" s="19">
        <f t="shared" si="8"/>
        <v>346.82415873015862</v>
      </c>
      <c r="U19" s="19">
        <f t="shared" si="8"/>
        <v>340.81788095238107</v>
      </c>
      <c r="V19" s="19">
        <f t="shared" si="8"/>
        <v>330.36601904761915</v>
      </c>
      <c r="W19" s="19">
        <f t="shared" si="8"/>
        <v>331.09555555555517</v>
      </c>
      <c r="X19" s="19">
        <f t="shared" si="8"/>
        <v>330.86207142857143</v>
      </c>
      <c r="Y19" s="19">
        <f t="shared" si="8"/>
        <v>331.68627619047629</v>
      </c>
      <c r="AA19" s="73" t="s">
        <v>237</v>
      </c>
      <c r="AB19" s="74" t="s">
        <v>238</v>
      </c>
      <c r="AC19" s="75" t="s">
        <v>239</v>
      </c>
    </row>
    <row r="20" spans="1:54">
      <c r="A20" t="s">
        <v>47</v>
      </c>
      <c r="B20" t="s">
        <v>34</v>
      </c>
      <c r="C20" s="14">
        <v>8400</v>
      </c>
      <c r="D20">
        <v>43</v>
      </c>
      <c r="E20" s="19">
        <v>10.1</v>
      </c>
      <c r="F20" s="14">
        <v>85076</v>
      </c>
      <c r="AA20" s="76" t="s">
        <v>235</v>
      </c>
      <c r="AB20" s="68">
        <f>AVERAGE(J22:L22)</f>
        <v>0.67889285714285708</v>
      </c>
      <c r="AC20" s="77">
        <f>AVERAGE(J18:L18)</f>
        <v>1982.3671428571427</v>
      </c>
    </row>
    <row r="21" spans="1:54" ht="15" thickBot="1">
      <c r="A21" s="13" t="s">
        <v>48</v>
      </c>
      <c r="E21" s="13">
        <f>E19-E20</f>
        <v>2</v>
      </c>
      <c r="F21" s="15">
        <f>F19-F20</f>
        <v>16711</v>
      </c>
      <c r="I21" s="16" t="s">
        <v>62</v>
      </c>
      <c r="J21" s="20">
        <f t="shared" ref="J21:N22" si="9">J17/$J$27</f>
        <v>0.8552142857142857</v>
      </c>
      <c r="K21" s="20">
        <f t="shared" si="9"/>
        <v>0.83547619047619048</v>
      </c>
      <c r="L21" s="20">
        <f t="shared" si="9"/>
        <v>0.8238928571428572</v>
      </c>
      <c r="M21" s="20">
        <f t="shared" si="9"/>
        <v>0.8078333333333334</v>
      </c>
      <c r="N21" s="20">
        <f t="shared" si="9"/>
        <v>0.78749404761904751</v>
      </c>
      <c r="O21" s="20">
        <f t="shared" ref="O21:Y21" si="10">O17/$J$27</f>
        <v>0.78208571428571438</v>
      </c>
      <c r="P21" s="20">
        <f t="shared" si="10"/>
        <v>0.75966428571428557</v>
      </c>
      <c r="Q21" s="20">
        <f t="shared" si="10"/>
        <v>0.757495238095238</v>
      </c>
      <c r="R21" s="20">
        <f t="shared" si="10"/>
        <v>0.75849761904761903</v>
      </c>
      <c r="S21" s="20">
        <f t="shared" si="10"/>
        <v>0.75594666666666666</v>
      </c>
      <c r="T21" s="20">
        <f t="shared" si="10"/>
        <v>0.74987539682539672</v>
      </c>
      <c r="U21" s="20">
        <f t="shared" si="10"/>
        <v>0.74105297619047628</v>
      </c>
      <c r="V21" s="20">
        <f t="shared" si="10"/>
        <v>0.74059809523809517</v>
      </c>
      <c r="W21" s="20">
        <f t="shared" si="10"/>
        <v>0.73749484126984122</v>
      </c>
      <c r="X21" s="20">
        <f t="shared" si="10"/>
        <v>0.73523184523809526</v>
      </c>
      <c r="Y21" s="20">
        <f t="shared" si="10"/>
        <v>0.73522285714285718</v>
      </c>
      <c r="AA21" s="78" t="s">
        <v>236</v>
      </c>
      <c r="AB21" s="79">
        <f>AVERAGE(M22:N22)</f>
        <v>0.66581746031746025</v>
      </c>
      <c r="AC21" s="80">
        <f>AVERAGE(M18:N18)</f>
        <v>1944.186984126984</v>
      </c>
    </row>
    <row r="22" spans="1:54">
      <c r="A22" s="13"/>
      <c r="E22" s="18"/>
      <c r="F22" s="15"/>
      <c r="I22" s="16" t="s">
        <v>64</v>
      </c>
      <c r="J22" s="20">
        <f t="shared" si="9"/>
        <v>0.68471428571428572</v>
      </c>
      <c r="K22" s="20">
        <f t="shared" si="9"/>
        <v>0.67666666666666664</v>
      </c>
      <c r="L22" s="20">
        <f t="shared" si="9"/>
        <v>0.67529761904761909</v>
      </c>
      <c r="M22" s="20">
        <f t="shared" si="9"/>
        <v>0.67520634920634914</v>
      </c>
      <c r="N22" s="20">
        <f t="shared" si="9"/>
        <v>0.65642857142857147</v>
      </c>
      <c r="O22" s="20">
        <f t="shared" ref="O22:Y22" si="11">O18/$J$27</f>
        <v>0.65293809523809521</v>
      </c>
      <c r="P22" s="20">
        <f t="shared" si="11"/>
        <v>0.64075000000000004</v>
      </c>
      <c r="Q22" s="20">
        <f t="shared" si="11"/>
        <v>0.64066507936507933</v>
      </c>
      <c r="R22" s="20">
        <f t="shared" si="11"/>
        <v>0.64067857142857143</v>
      </c>
      <c r="S22" s="20">
        <f t="shared" si="11"/>
        <v>0.63630571428571436</v>
      </c>
      <c r="T22" s="20">
        <f t="shared" si="11"/>
        <v>0.63109999999999999</v>
      </c>
      <c r="U22" s="20">
        <f t="shared" si="11"/>
        <v>0.62433452380952381</v>
      </c>
      <c r="V22" s="20">
        <f t="shared" si="11"/>
        <v>0.62745904761904758</v>
      </c>
      <c r="W22" s="20">
        <f t="shared" si="11"/>
        <v>0.62410595238095246</v>
      </c>
      <c r="X22" s="20">
        <f t="shared" si="11"/>
        <v>0.62192291666666666</v>
      </c>
      <c r="Y22" s="20">
        <f t="shared" si="11"/>
        <v>0.62163166666666669</v>
      </c>
    </row>
    <row r="23" spans="1:54">
      <c r="A23" s="13" t="s">
        <v>77</v>
      </c>
      <c r="C23" t="s">
        <v>30</v>
      </c>
      <c r="D23" t="s">
        <v>31</v>
      </c>
      <c r="E23" s="19" t="s">
        <v>32</v>
      </c>
      <c r="F23" t="s">
        <v>33</v>
      </c>
      <c r="H23" s="13"/>
      <c r="I23" s="16" t="s">
        <v>63</v>
      </c>
      <c r="J23" s="21">
        <f t="shared" ref="J23:O23" si="12">J21-J22</f>
        <v>0.17049999999999998</v>
      </c>
      <c r="K23" s="21">
        <f t="shared" si="12"/>
        <v>0.15880952380952384</v>
      </c>
      <c r="L23" s="21">
        <f t="shared" si="12"/>
        <v>0.14859523809523811</v>
      </c>
      <c r="M23" s="21">
        <f t="shared" si="12"/>
        <v>0.13262698412698426</v>
      </c>
      <c r="N23" s="21">
        <f t="shared" si="12"/>
        <v>0.13106547619047604</v>
      </c>
      <c r="O23" s="21">
        <f t="shared" si="12"/>
        <v>0.12914761904761918</v>
      </c>
      <c r="P23" s="21">
        <f t="shared" ref="P23:Y23" si="13">P21-P22</f>
        <v>0.11891428571428553</v>
      </c>
      <c r="Q23" s="21">
        <f t="shared" si="13"/>
        <v>0.11683015873015867</v>
      </c>
      <c r="R23" s="21">
        <f t="shared" si="13"/>
        <v>0.1178190476190476</v>
      </c>
      <c r="S23" s="21">
        <f t="shared" si="13"/>
        <v>0.11964095238095229</v>
      </c>
      <c r="T23" s="21">
        <f t="shared" si="13"/>
        <v>0.11877539682539673</v>
      </c>
      <c r="U23" s="21">
        <f t="shared" si="13"/>
        <v>0.11671845238095246</v>
      </c>
      <c r="V23" s="21">
        <f t="shared" si="13"/>
        <v>0.11313904761904758</v>
      </c>
      <c r="W23" s="21">
        <f t="shared" si="13"/>
        <v>0.11338888888888876</v>
      </c>
      <c r="X23" s="21">
        <f t="shared" si="13"/>
        <v>0.1133089285714286</v>
      </c>
      <c r="Y23" s="21">
        <f t="shared" si="13"/>
        <v>0.11359119047619048</v>
      </c>
      <c r="Z23" s="13"/>
      <c r="AB23" s="81"/>
      <c r="AC23" s="81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</row>
    <row r="24" spans="1:54">
      <c r="A24" t="s">
        <v>46</v>
      </c>
      <c r="B24" t="s">
        <v>34</v>
      </c>
      <c r="C24" s="14">
        <v>8400</v>
      </c>
      <c r="D24">
        <v>57</v>
      </c>
      <c r="E24" s="19">
        <v>15.7</v>
      </c>
      <c r="F24" s="14">
        <v>132299</v>
      </c>
      <c r="AB24" s="81"/>
      <c r="AC24" s="81"/>
    </row>
    <row r="25" spans="1:54">
      <c r="A25" t="s">
        <v>47</v>
      </c>
      <c r="B25" t="s">
        <v>34</v>
      </c>
      <c r="C25" s="14">
        <v>8400</v>
      </c>
      <c r="D25">
        <v>57</v>
      </c>
      <c r="E25" s="19">
        <v>13.1</v>
      </c>
      <c r="F25" s="14">
        <v>110280</v>
      </c>
    </row>
    <row r="26" spans="1:54">
      <c r="A26" s="13" t="s">
        <v>48</v>
      </c>
      <c r="E26" s="13">
        <f>E24-E25</f>
        <v>2.5999999999999996</v>
      </c>
      <c r="F26" s="15">
        <f>F24-F25</f>
        <v>22019</v>
      </c>
      <c r="I26" s="16" t="s">
        <v>57</v>
      </c>
      <c r="J26">
        <v>8400</v>
      </c>
    </row>
    <row r="27" spans="1:54">
      <c r="E27" s="18"/>
      <c r="I27" s="16" t="s">
        <v>54</v>
      </c>
      <c r="J27">
        <v>2920</v>
      </c>
    </row>
    <row r="28" spans="1:54">
      <c r="A28" s="13" t="s">
        <v>35</v>
      </c>
      <c r="C28" t="s">
        <v>30</v>
      </c>
      <c r="D28" t="s">
        <v>31</v>
      </c>
      <c r="E28" t="s">
        <v>32</v>
      </c>
      <c r="F28" t="s">
        <v>33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</row>
    <row r="29" spans="1:54">
      <c r="A29" t="s">
        <v>46</v>
      </c>
      <c r="B29" t="s">
        <v>34</v>
      </c>
      <c r="C29" s="14">
        <v>8400</v>
      </c>
      <c r="D29">
        <v>71</v>
      </c>
      <c r="E29">
        <v>19.600000000000001</v>
      </c>
      <c r="F29" s="14">
        <v>164238</v>
      </c>
      <c r="AB29" s="69"/>
    </row>
    <row r="30" spans="1:54">
      <c r="A30" t="s">
        <v>47</v>
      </c>
      <c r="B30" t="s">
        <v>34</v>
      </c>
      <c r="C30" s="14">
        <v>8400</v>
      </c>
      <c r="D30">
        <v>71</v>
      </c>
      <c r="E30">
        <v>16.3</v>
      </c>
      <c r="F30" s="14">
        <v>137117</v>
      </c>
      <c r="AB30" s="69"/>
    </row>
    <row r="31" spans="1:54" s="13" customFormat="1">
      <c r="A31" s="13" t="s">
        <v>48</v>
      </c>
      <c r="E31" s="13">
        <f>E29-E30</f>
        <v>3.3000000000000007</v>
      </c>
      <c r="F31" s="15">
        <f>F29-F30</f>
        <v>27121</v>
      </c>
      <c r="H31"/>
      <c r="I31" s="17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 s="44"/>
      <c r="AB31" s="44"/>
      <c r="AC31" s="44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</row>
    <row r="32" spans="1:54">
      <c r="F32" s="14"/>
    </row>
    <row r="33" spans="1:54">
      <c r="A33" s="13" t="s">
        <v>36</v>
      </c>
      <c r="C33" t="s">
        <v>30</v>
      </c>
      <c r="D33" t="s">
        <v>31</v>
      </c>
      <c r="E33" t="s">
        <v>32</v>
      </c>
      <c r="F33" t="s">
        <v>33</v>
      </c>
      <c r="H33" s="13"/>
      <c r="I33" s="16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D33" s="13"/>
      <c r="AE33" s="13"/>
      <c r="AF33" s="13"/>
      <c r="AG33" s="13"/>
      <c r="AH33" s="13"/>
      <c r="AI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</row>
    <row r="34" spans="1:54">
      <c r="A34" t="s">
        <v>46</v>
      </c>
      <c r="B34" t="s">
        <v>34</v>
      </c>
      <c r="C34" s="14">
        <v>8400</v>
      </c>
      <c r="D34">
        <v>158</v>
      </c>
      <c r="E34">
        <v>38</v>
      </c>
      <c r="F34" s="14">
        <v>319059</v>
      </c>
    </row>
    <row r="35" spans="1:54">
      <c r="A35" t="s">
        <v>47</v>
      </c>
      <c r="B35" t="s">
        <v>34</v>
      </c>
      <c r="C35" s="14">
        <v>8400</v>
      </c>
      <c r="D35">
        <v>158</v>
      </c>
      <c r="E35">
        <v>32</v>
      </c>
      <c r="F35" s="14">
        <v>269115</v>
      </c>
    </row>
    <row r="36" spans="1:54" s="13" customFormat="1">
      <c r="A36" s="13" t="s">
        <v>48</v>
      </c>
      <c r="E36" s="13">
        <f>E34-E35</f>
        <v>6</v>
      </c>
      <c r="F36" s="15">
        <f>F34-F35</f>
        <v>49944</v>
      </c>
      <c r="H36"/>
      <c r="I36" s="17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 s="44"/>
      <c r="AB36" s="44"/>
      <c r="AC36" s="44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</row>
    <row r="38" spans="1:54">
      <c r="A38" s="13" t="s">
        <v>37</v>
      </c>
      <c r="C38" t="s">
        <v>30</v>
      </c>
      <c r="D38" t="s">
        <v>31</v>
      </c>
      <c r="E38" t="s">
        <v>32</v>
      </c>
      <c r="F38" t="s">
        <v>33</v>
      </c>
      <c r="H38" s="13"/>
      <c r="I38" s="16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46"/>
      <c r="AB38" s="46"/>
      <c r="AC38" s="46"/>
      <c r="AD38" s="25"/>
      <c r="AE38" s="25"/>
      <c r="AF38" s="25"/>
      <c r="AG38" s="25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</row>
    <row r="39" spans="1:54">
      <c r="A39" t="s">
        <v>46</v>
      </c>
      <c r="B39" t="s">
        <v>34</v>
      </c>
      <c r="C39" s="14">
        <v>8400</v>
      </c>
      <c r="D39">
        <v>255</v>
      </c>
      <c r="E39">
        <v>56.8</v>
      </c>
      <c r="F39" s="14">
        <v>477222</v>
      </c>
      <c r="AA39" s="46"/>
      <c r="AB39" s="46"/>
      <c r="AC39" s="46"/>
      <c r="AD39" s="25"/>
      <c r="AE39" s="25"/>
      <c r="AF39" s="25"/>
      <c r="AG39" s="25"/>
    </row>
    <row r="40" spans="1:54">
      <c r="A40" t="s">
        <v>47</v>
      </c>
      <c r="B40" t="s">
        <v>34</v>
      </c>
      <c r="C40" s="14">
        <v>8400</v>
      </c>
      <c r="D40">
        <v>255</v>
      </c>
      <c r="E40">
        <v>48</v>
      </c>
      <c r="F40" s="14">
        <v>403619</v>
      </c>
      <c r="AA40" s="47"/>
      <c r="AB40" s="47"/>
      <c r="AC40" s="47"/>
      <c r="AD40" s="25"/>
      <c r="AE40" s="48"/>
      <c r="AF40" s="25"/>
      <c r="AG40" s="25"/>
    </row>
    <row r="41" spans="1:54" s="13" customFormat="1">
      <c r="A41" s="13" t="s">
        <v>48</v>
      </c>
      <c r="E41" s="13">
        <f>E39-E40</f>
        <v>8.7999999999999972</v>
      </c>
      <c r="F41" s="15">
        <f>F39-F40</f>
        <v>73603</v>
      </c>
      <c r="H41"/>
      <c r="I41" s="17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 s="47"/>
      <c r="AB41" s="47"/>
      <c r="AC41" s="47"/>
      <c r="AD41" s="49"/>
      <c r="AE41" s="48"/>
      <c r="AF41" s="49"/>
      <c r="AG41" s="49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1:54">
      <c r="AA42" s="50"/>
      <c r="AB42" s="50"/>
      <c r="AC42" s="50"/>
      <c r="AD42" s="25"/>
      <c r="AE42" s="48"/>
      <c r="AF42" s="25"/>
      <c r="AG42" s="25"/>
    </row>
    <row r="43" spans="1:54">
      <c r="A43" s="13" t="s">
        <v>38</v>
      </c>
      <c r="C43" t="s">
        <v>30</v>
      </c>
      <c r="D43" t="s">
        <v>31</v>
      </c>
      <c r="E43" t="s">
        <v>32</v>
      </c>
      <c r="F43" t="s">
        <v>33</v>
      </c>
      <c r="H43" s="13"/>
      <c r="I43" s="16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49"/>
      <c r="AB43" s="49"/>
      <c r="AC43" s="49"/>
      <c r="AD43" s="25"/>
      <c r="AE43" s="51"/>
      <c r="AF43" s="25"/>
      <c r="AG43" s="25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</row>
    <row r="44" spans="1:54">
      <c r="A44" t="s">
        <v>46</v>
      </c>
      <c r="B44" t="s">
        <v>34</v>
      </c>
      <c r="C44" s="14">
        <v>8400</v>
      </c>
      <c r="D44">
        <v>331</v>
      </c>
      <c r="E44">
        <v>75.8</v>
      </c>
      <c r="F44" s="14">
        <v>637138</v>
      </c>
      <c r="AA44" s="52"/>
      <c r="AB44" s="52"/>
      <c r="AC44" s="52"/>
      <c r="AD44" s="25"/>
      <c r="AE44" s="48"/>
      <c r="AF44" s="25"/>
      <c r="AG44" s="25"/>
    </row>
    <row r="45" spans="1:54">
      <c r="A45" t="s">
        <v>47</v>
      </c>
      <c r="B45" t="s">
        <v>34</v>
      </c>
      <c r="C45" s="14">
        <v>8400</v>
      </c>
      <c r="D45">
        <v>331</v>
      </c>
      <c r="E45">
        <v>64.099999999999994</v>
      </c>
      <c r="F45" s="14">
        <v>538170</v>
      </c>
      <c r="AA45" s="52"/>
      <c r="AB45" s="52"/>
      <c r="AC45" s="52"/>
      <c r="AD45" s="25"/>
      <c r="AE45" s="48"/>
      <c r="AF45" s="25"/>
      <c r="AG45" s="25"/>
    </row>
    <row r="46" spans="1:54" s="13" customFormat="1">
      <c r="A46" s="13" t="s">
        <v>48</v>
      </c>
      <c r="E46" s="13">
        <f>E44-E45</f>
        <v>11.700000000000003</v>
      </c>
      <c r="F46" s="15">
        <f>F44-F45</f>
        <v>98968</v>
      </c>
      <c r="H46"/>
      <c r="I46" s="17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 s="72"/>
      <c r="AB46" s="72"/>
      <c r="AC46" s="72"/>
      <c r="AD46" s="49"/>
      <c r="AE46" s="48"/>
      <c r="AF46" s="49"/>
      <c r="AG46" s="49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</row>
    <row r="48" spans="1:54">
      <c r="A48" s="13" t="s">
        <v>39</v>
      </c>
      <c r="C48" t="s">
        <v>30</v>
      </c>
      <c r="D48" t="s">
        <v>31</v>
      </c>
      <c r="E48" t="s">
        <v>32</v>
      </c>
      <c r="F48" t="s">
        <v>33</v>
      </c>
      <c r="H48" s="13"/>
      <c r="I48" s="16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</row>
    <row r="49" spans="1:54">
      <c r="A49" t="s">
        <v>46</v>
      </c>
      <c r="B49" t="s">
        <v>34</v>
      </c>
      <c r="C49" s="14">
        <v>8400</v>
      </c>
      <c r="D49">
        <v>386</v>
      </c>
      <c r="E49">
        <v>94.5</v>
      </c>
      <c r="F49" s="14">
        <v>793744</v>
      </c>
    </row>
    <row r="50" spans="1:54">
      <c r="A50" t="s">
        <v>47</v>
      </c>
      <c r="B50" t="s">
        <v>34</v>
      </c>
      <c r="C50" s="14">
        <v>8400</v>
      </c>
      <c r="D50">
        <v>386</v>
      </c>
      <c r="E50">
        <v>79.5</v>
      </c>
      <c r="F50" s="14">
        <v>668121</v>
      </c>
    </row>
    <row r="51" spans="1:54" s="13" customFormat="1">
      <c r="A51" s="13" t="s">
        <v>48</v>
      </c>
      <c r="E51" s="13">
        <f>E49-E50</f>
        <v>15</v>
      </c>
      <c r="F51" s="15">
        <f>F49-F50</f>
        <v>125623</v>
      </c>
      <c r="H51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 s="44"/>
      <c r="AB51" s="44"/>
      <c r="AC51" s="44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</row>
    <row r="53" spans="1:54">
      <c r="A53" s="13" t="s">
        <v>40</v>
      </c>
      <c r="C53" t="s">
        <v>30</v>
      </c>
      <c r="D53" t="s">
        <v>31</v>
      </c>
      <c r="E53" t="s">
        <v>32</v>
      </c>
      <c r="F53" t="s">
        <v>33</v>
      </c>
      <c r="H53" s="13"/>
      <c r="I53" s="16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</row>
    <row r="54" spans="1:54">
      <c r="A54" s="13" t="s">
        <v>46</v>
      </c>
      <c r="B54" t="s">
        <v>34</v>
      </c>
      <c r="C54" s="14">
        <v>8400</v>
      </c>
      <c r="D54">
        <v>510</v>
      </c>
      <c r="E54">
        <v>112.5</v>
      </c>
      <c r="F54" s="14">
        <v>944843</v>
      </c>
    </row>
    <row r="55" spans="1:54">
      <c r="A55" t="s">
        <v>47</v>
      </c>
      <c r="B55" t="s">
        <v>34</v>
      </c>
      <c r="C55" s="14">
        <v>8400</v>
      </c>
      <c r="D55">
        <v>510</v>
      </c>
      <c r="E55">
        <v>94.7</v>
      </c>
      <c r="F55" s="14">
        <v>795186</v>
      </c>
    </row>
    <row r="56" spans="1:54" s="13" customFormat="1">
      <c r="A56" s="13" t="s">
        <v>48</v>
      </c>
      <c r="E56" s="13">
        <f>E54-E55</f>
        <v>17.799999999999997</v>
      </c>
      <c r="F56" s="15">
        <f>F54-F55</f>
        <v>149657</v>
      </c>
      <c r="H56"/>
      <c r="I56" s="17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 s="44"/>
      <c r="AB56" s="44"/>
      <c r="AC56" s="44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</row>
    <row r="58" spans="1:54">
      <c r="A58" s="13" t="s">
        <v>41</v>
      </c>
      <c r="C58" t="s">
        <v>30</v>
      </c>
      <c r="D58" t="s">
        <v>31</v>
      </c>
      <c r="E58" t="s">
        <v>32</v>
      </c>
      <c r="F58" t="s">
        <v>33</v>
      </c>
      <c r="H58" s="13"/>
      <c r="I58" s="16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</row>
    <row r="59" spans="1:54">
      <c r="A59" s="13" t="s">
        <v>46</v>
      </c>
      <c r="B59" t="s">
        <v>34</v>
      </c>
      <c r="C59" s="14">
        <v>8400</v>
      </c>
      <c r="D59">
        <v>674</v>
      </c>
      <c r="E59">
        <v>148.19999999999999</v>
      </c>
      <c r="F59" s="14">
        <v>1244969</v>
      </c>
    </row>
    <row r="60" spans="1:54">
      <c r="A60" t="s">
        <v>47</v>
      </c>
      <c r="B60" t="s">
        <v>34</v>
      </c>
      <c r="C60" s="14">
        <v>8400</v>
      </c>
      <c r="D60">
        <v>674</v>
      </c>
      <c r="E60">
        <v>124.9</v>
      </c>
      <c r="F60" s="14">
        <v>1048882</v>
      </c>
      <c r="I60" s="16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</row>
    <row r="61" spans="1:54" s="13" customFormat="1">
      <c r="A61" s="13" t="s">
        <v>48</v>
      </c>
      <c r="E61" s="13">
        <f>E59-E60</f>
        <v>23.299999999999983</v>
      </c>
      <c r="F61" s="15">
        <f>F59-F60</f>
        <v>196087</v>
      </c>
      <c r="H61"/>
      <c r="I61" s="16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22"/>
      <c r="V61"/>
      <c r="W61"/>
      <c r="X61"/>
      <c r="Y61"/>
      <c r="Z61"/>
      <c r="AA61" s="44"/>
      <c r="AB61" s="44"/>
      <c r="AC61" s="44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</row>
    <row r="62" spans="1:54">
      <c r="I62" s="16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3"/>
    </row>
    <row r="63" spans="1:54">
      <c r="A63" s="13" t="s">
        <v>42</v>
      </c>
      <c r="C63" t="s">
        <v>30</v>
      </c>
      <c r="D63" t="s">
        <v>31</v>
      </c>
      <c r="E63" t="s">
        <v>32</v>
      </c>
      <c r="F63" t="s">
        <v>33</v>
      </c>
    </row>
    <row r="64" spans="1:54">
      <c r="A64" t="s">
        <v>46</v>
      </c>
      <c r="B64" t="s">
        <v>34</v>
      </c>
      <c r="C64" s="14">
        <v>8400</v>
      </c>
      <c r="D64">
        <v>843</v>
      </c>
      <c r="E64">
        <v>185.1</v>
      </c>
      <c r="F64" s="14">
        <v>1555256</v>
      </c>
    </row>
    <row r="65" spans="1:54">
      <c r="A65" t="s">
        <v>47</v>
      </c>
      <c r="B65" t="s">
        <v>34</v>
      </c>
      <c r="C65" s="14">
        <v>8400</v>
      </c>
      <c r="D65">
        <v>843</v>
      </c>
      <c r="E65">
        <v>156.9</v>
      </c>
      <c r="F65" s="14">
        <v>1317664</v>
      </c>
    </row>
    <row r="66" spans="1:54" s="13" customFormat="1">
      <c r="A66" s="13" t="s">
        <v>48</v>
      </c>
      <c r="E66" s="13">
        <f>E64-E65</f>
        <v>28.199999999999989</v>
      </c>
      <c r="F66" s="15">
        <f>F64-F65</f>
        <v>237592</v>
      </c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 s="44"/>
      <c r="AB66" s="44"/>
      <c r="AC66" s="44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</row>
    <row r="67" spans="1:54">
      <c r="I67"/>
    </row>
    <row r="68" spans="1:54">
      <c r="A68" s="13" t="s">
        <v>43</v>
      </c>
      <c r="C68" t="s">
        <v>30</v>
      </c>
      <c r="D68" t="s">
        <v>31</v>
      </c>
      <c r="E68" t="s">
        <v>32</v>
      </c>
      <c r="F68" t="s">
        <v>33</v>
      </c>
      <c r="I68"/>
    </row>
    <row r="69" spans="1:54">
      <c r="A69" t="s">
        <v>46</v>
      </c>
      <c r="B69" t="s">
        <v>34</v>
      </c>
      <c r="C69" s="14">
        <v>8400</v>
      </c>
      <c r="D69">
        <v>992</v>
      </c>
      <c r="E69">
        <v>221.2</v>
      </c>
      <c r="F69" s="14">
        <v>1858487</v>
      </c>
      <c r="I69"/>
    </row>
    <row r="70" spans="1:54">
      <c r="A70" t="s">
        <v>47</v>
      </c>
      <c r="B70" t="s">
        <v>34</v>
      </c>
      <c r="C70" s="14">
        <v>8400</v>
      </c>
      <c r="D70">
        <v>992</v>
      </c>
      <c r="E70">
        <v>187.2</v>
      </c>
      <c r="F70" s="14">
        <v>1572747</v>
      </c>
      <c r="I70"/>
    </row>
    <row r="71" spans="1:54" s="13" customFormat="1">
      <c r="A71" s="13" t="s">
        <v>48</v>
      </c>
      <c r="E71" s="13">
        <f>E69-E70</f>
        <v>34</v>
      </c>
      <c r="F71" s="15">
        <f>F69-F70</f>
        <v>285740</v>
      </c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 s="44"/>
      <c r="AB71" s="44"/>
      <c r="AC71" s="44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</row>
    <row r="72" spans="1:54">
      <c r="I72"/>
    </row>
    <row r="73" spans="1:54">
      <c r="A73" s="13" t="s">
        <v>44</v>
      </c>
      <c r="C73" t="s">
        <v>30</v>
      </c>
      <c r="D73" t="s">
        <v>31</v>
      </c>
      <c r="E73" t="s">
        <v>32</v>
      </c>
      <c r="F73" t="s">
        <v>33</v>
      </c>
      <c r="I73"/>
    </row>
    <row r="74" spans="1:54">
      <c r="A74" t="s">
        <v>46</v>
      </c>
      <c r="B74" t="s">
        <v>34</v>
      </c>
      <c r="C74" s="14">
        <v>8400</v>
      </c>
      <c r="D74" s="14">
        <v>1328</v>
      </c>
      <c r="E74">
        <v>294.10000000000002</v>
      </c>
      <c r="F74" s="14">
        <v>2470379</v>
      </c>
      <c r="I74"/>
    </row>
    <row r="75" spans="1:54">
      <c r="A75" t="s">
        <v>47</v>
      </c>
      <c r="B75" t="s">
        <v>34</v>
      </c>
      <c r="C75" s="14">
        <v>8400</v>
      </c>
      <c r="D75" s="14">
        <v>1328</v>
      </c>
      <c r="E75">
        <v>248.8</v>
      </c>
      <c r="F75" s="14">
        <v>2089661</v>
      </c>
      <c r="I75"/>
    </row>
    <row r="76" spans="1:54" s="13" customFormat="1">
      <c r="A76" s="13" t="s">
        <v>48</v>
      </c>
      <c r="E76" s="13">
        <f>E74-E75</f>
        <v>45.300000000000011</v>
      </c>
      <c r="F76" s="15">
        <f>F74-F75</f>
        <v>380718</v>
      </c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 s="44"/>
      <c r="AB76" s="44"/>
      <c r="AC76" s="44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</row>
    <row r="78" spans="1:54">
      <c r="A78" s="13" t="s">
        <v>45</v>
      </c>
      <c r="C78" t="s">
        <v>30</v>
      </c>
      <c r="D78" t="s">
        <v>31</v>
      </c>
      <c r="E78" t="s">
        <v>32</v>
      </c>
      <c r="F78" t="s">
        <v>33</v>
      </c>
    </row>
    <row r="79" spans="1:54">
      <c r="A79" t="s">
        <v>46</v>
      </c>
      <c r="B79" t="s">
        <v>34</v>
      </c>
      <c r="C79" s="14">
        <v>8400</v>
      </c>
      <c r="D79" s="14">
        <v>1724</v>
      </c>
      <c r="E79">
        <v>367.6</v>
      </c>
      <c r="F79" s="14">
        <v>3087936</v>
      </c>
    </row>
    <row r="80" spans="1:54">
      <c r="A80" t="s">
        <v>47</v>
      </c>
      <c r="B80" t="s">
        <v>34</v>
      </c>
      <c r="C80" s="14">
        <v>8400</v>
      </c>
      <c r="D80" s="14">
        <v>1724</v>
      </c>
      <c r="E80">
        <v>310.8</v>
      </c>
      <c r="F80" s="14">
        <v>2610853</v>
      </c>
    </row>
    <row r="81" spans="1:54" s="13" customFormat="1">
      <c r="A81" s="13" t="s">
        <v>48</v>
      </c>
      <c r="E81" s="13">
        <f>E79-E80</f>
        <v>56.800000000000011</v>
      </c>
      <c r="F81" s="15">
        <f>F79-F80</f>
        <v>477083</v>
      </c>
      <c r="H81"/>
      <c r="I81" s="17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 s="44"/>
      <c r="AB81" s="44"/>
      <c r="AC81" s="44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</row>
    <row r="93" spans="1:54">
      <c r="B93">
        <f>(523-407)/2</f>
        <v>58</v>
      </c>
    </row>
    <row r="94" spans="1:54">
      <c r="B94">
        <f>B93/468</f>
        <v>0.12393162393162394</v>
      </c>
    </row>
  </sheetData>
  <mergeCells count="3">
    <mergeCell ref="AA6:AC6"/>
    <mergeCell ref="AA12:AC12"/>
    <mergeCell ref="AA18:AC18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U32"/>
  <sheetViews>
    <sheetView zoomScale="90" zoomScaleNormal="90" workbookViewId="0">
      <selection activeCell="W51" sqref="W51"/>
    </sheetView>
  </sheetViews>
  <sheetFormatPr defaultRowHeight="14.4"/>
  <sheetData>
    <row r="3" spans="1:20">
      <c r="A3">
        <v>1</v>
      </c>
      <c r="B3" t="s">
        <v>4</v>
      </c>
      <c r="E3">
        <f>8400</f>
        <v>8400</v>
      </c>
      <c r="F3" t="s">
        <v>7</v>
      </c>
      <c r="H3" t="s">
        <v>27</v>
      </c>
    </row>
    <row r="4" spans="1:20">
      <c r="A4">
        <v>7.48</v>
      </c>
      <c r="B4" t="s">
        <v>5</v>
      </c>
      <c r="E4">
        <f>E3/24</f>
        <v>350</v>
      </c>
      <c r="F4" t="s">
        <v>8</v>
      </c>
    </row>
    <row r="5" spans="1:20">
      <c r="A5">
        <f>A3/A4</f>
        <v>0.13368983957219249</v>
      </c>
      <c r="B5" t="s">
        <v>6</v>
      </c>
    </row>
    <row r="7" spans="1:20">
      <c r="B7" t="s">
        <v>28</v>
      </c>
    </row>
    <row r="8" spans="1:20">
      <c r="B8" s="12">
        <v>0.7</v>
      </c>
      <c r="C8" t="s">
        <v>11</v>
      </c>
    </row>
    <row r="9" spans="1:20">
      <c r="B9">
        <v>2</v>
      </c>
      <c r="C9" t="s">
        <v>25</v>
      </c>
    </row>
    <row r="10" spans="1:20">
      <c r="B10">
        <v>0.05</v>
      </c>
      <c r="C10" t="s">
        <v>16</v>
      </c>
    </row>
    <row r="11" spans="1:20">
      <c r="B11" s="12">
        <v>0.4</v>
      </c>
      <c r="C11" t="s">
        <v>26</v>
      </c>
    </row>
    <row r="12" spans="1:20">
      <c r="B12" s="12"/>
    </row>
    <row r="13" spans="1:20">
      <c r="B13" s="13" t="s">
        <v>70</v>
      </c>
      <c r="J13" s="13" t="s">
        <v>69</v>
      </c>
    </row>
    <row r="14" spans="1:20" ht="58.2" thickBot="1">
      <c r="B14" t="s">
        <v>0</v>
      </c>
      <c r="C14" s="7" t="s">
        <v>9</v>
      </c>
      <c r="D14" s="7" t="s">
        <v>10</v>
      </c>
      <c r="E14" s="7" t="s">
        <v>12</v>
      </c>
      <c r="F14" s="7" t="s">
        <v>13</v>
      </c>
      <c r="G14" s="7" t="s">
        <v>14</v>
      </c>
      <c r="H14" s="7" t="s">
        <v>15</v>
      </c>
      <c r="J14" s="7" t="s">
        <v>74</v>
      </c>
      <c r="K14" s="7" t="s">
        <v>17</v>
      </c>
      <c r="L14" s="7" t="s">
        <v>29</v>
      </c>
      <c r="M14" s="7" t="s">
        <v>65</v>
      </c>
      <c r="N14" s="7"/>
      <c r="P14" s="7" t="s">
        <v>18</v>
      </c>
      <c r="Q14" s="7" t="s">
        <v>19</v>
      </c>
      <c r="R14" s="7" t="s">
        <v>20</v>
      </c>
      <c r="S14" s="7" t="s">
        <v>21</v>
      </c>
      <c r="T14" s="7" t="s">
        <v>22</v>
      </c>
    </row>
    <row r="15" spans="1:20">
      <c r="B15" s="8">
        <v>5</v>
      </c>
      <c r="C15" s="32">
        <v>18</v>
      </c>
      <c r="D15">
        <f>C15*$B$8</f>
        <v>12.6</v>
      </c>
      <c r="E15">
        <f>$B$9*D15</f>
        <v>25.2</v>
      </c>
      <c r="F15">
        <f>E15*$A$5</f>
        <v>3.3689839572192506</v>
      </c>
      <c r="G15" s="32">
        <v>4.7</v>
      </c>
      <c r="H15" s="32">
        <v>4.9000000000000004</v>
      </c>
      <c r="J15">
        <f>G15*(1+$B$10)</f>
        <v>4.9350000000000005</v>
      </c>
      <c r="K15">
        <f>$B$10*G15</f>
        <v>0.23500000000000001</v>
      </c>
      <c r="L15">
        <f>C15*$B$11</f>
        <v>7.2</v>
      </c>
      <c r="M15" s="5">
        <f>($B$11+$B$10)*G15</f>
        <v>2.1150000000000002</v>
      </c>
      <c r="N15" s="7"/>
      <c r="P15" s="7">
        <v>7160</v>
      </c>
      <c r="Q15" s="35">
        <v>0.9</v>
      </c>
      <c r="R15" s="7">
        <v>16.5</v>
      </c>
      <c r="S15" s="40">
        <f>P15/B15</f>
        <v>1432</v>
      </c>
      <c r="T15" s="41">
        <f>Q15/B15</f>
        <v>0.18</v>
      </c>
    </row>
    <row r="16" spans="1:20">
      <c r="B16" s="8">
        <v>7.5</v>
      </c>
      <c r="C16" s="32">
        <v>27</v>
      </c>
      <c r="D16">
        <f>C16*$B$8</f>
        <v>18.899999999999999</v>
      </c>
      <c r="E16">
        <f>$B$9*D16</f>
        <v>37.799999999999997</v>
      </c>
      <c r="F16">
        <f>E16*$A$5</f>
        <v>5.0534759358288754</v>
      </c>
      <c r="G16" s="32">
        <v>6.8</v>
      </c>
      <c r="H16" s="32">
        <v>7.2</v>
      </c>
      <c r="J16">
        <f>G16*(1+$B$10)</f>
        <v>7.14</v>
      </c>
      <c r="K16">
        <f>$B$10*G16</f>
        <v>0.34</v>
      </c>
      <c r="L16">
        <f>C16*$B$11</f>
        <v>10.8</v>
      </c>
      <c r="M16" s="5">
        <f>($B$11+$B$10)*G16</f>
        <v>3.06</v>
      </c>
      <c r="N16" s="7"/>
      <c r="P16" s="7">
        <v>10005</v>
      </c>
      <c r="Q16" s="35">
        <v>1.2</v>
      </c>
      <c r="R16" s="7">
        <v>16.5</v>
      </c>
      <c r="S16" s="42">
        <f>P16/B16</f>
        <v>1334</v>
      </c>
      <c r="T16" s="43">
        <f>Q16/B16</f>
        <v>0.16</v>
      </c>
    </row>
    <row r="17" spans="2:21">
      <c r="B17" s="8">
        <v>10</v>
      </c>
      <c r="C17" s="32">
        <v>39</v>
      </c>
      <c r="D17">
        <f>C17*$B$8</f>
        <v>27.299999999999997</v>
      </c>
      <c r="E17">
        <f>$B$9*D17</f>
        <v>54.599999999999994</v>
      </c>
      <c r="F17">
        <f>E17*$A$5</f>
        <v>7.2994652406417098</v>
      </c>
      <c r="G17" s="32">
        <v>9</v>
      </c>
      <c r="H17" s="32">
        <v>9.4</v>
      </c>
      <c r="J17">
        <f>G17*(1+$B$10)</f>
        <v>9.4500000000000011</v>
      </c>
      <c r="K17">
        <f>$B$10*G17</f>
        <v>0.45</v>
      </c>
      <c r="L17">
        <f>C17*$B$11</f>
        <v>15.600000000000001</v>
      </c>
      <c r="M17" s="5">
        <f>($B$11+$B$10)*G17</f>
        <v>4.05</v>
      </c>
      <c r="N17" s="7"/>
      <c r="P17" s="7">
        <v>12482</v>
      </c>
      <c r="Q17" s="35">
        <v>1.5</v>
      </c>
      <c r="R17" s="7">
        <v>16.5</v>
      </c>
      <c r="S17" s="42">
        <f>P17/B17</f>
        <v>1248.2</v>
      </c>
      <c r="T17" s="43">
        <f>Q17/B17</f>
        <v>0.15</v>
      </c>
    </row>
    <row r="18" spans="2:21">
      <c r="B18" s="8">
        <v>15</v>
      </c>
      <c r="C18" s="32">
        <v>62</v>
      </c>
      <c r="D18">
        <f>C18*$B$8</f>
        <v>43.4</v>
      </c>
      <c r="E18">
        <f>$B$9*D18</f>
        <v>86.8</v>
      </c>
      <c r="F18">
        <f>E18*$A$5</f>
        <v>11.604278074866308</v>
      </c>
      <c r="G18" s="32">
        <v>13.5</v>
      </c>
      <c r="H18" s="32">
        <v>14.2</v>
      </c>
      <c r="J18">
        <f>G18*(1+$B$10)</f>
        <v>14.175000000000001</v>
      </c>
      <c r="K18">
        <f>$B$10*G18</f>
        <v>0.67500000000000004</v>
      </c>
      <c r="L18">
        <f>C18*$B$11</f>
        <v>24.8</v>
      </c>
      <c r="M18" s="5">
        <f>($B$11+$B$10)*G18</f>
        <v>6.0750000000000002</v>
      </c>
      <c r="N18" s="7"/>
      <c r="P18" s="7">
        <v>16711</v>
      </c>
      <c r="Q18" s="35">
        <v>2</v>
      </c>
      <c r="R18" s="7">
        <v>16.5</v>
      </c>
      <c r="S18" s="42">
        <f>P18/B18</f>
        <v>1114.0666666666666</v>
      </c>
      <c r="T18" s="43">
        <f>Q18/B18</f>
        <v>0.13333333333333333</v>
      </c>
    </row>
    <row r="19" spans="2:21">
      <c r="B19" s="8">
        <v>20</v>
      </c>
      <c r="C19" s="32">
        <v>82</v>
      </c>
      <c r="D19">
        <f>C19*$B$8</f>
        <v>57.4</v>
      </c>
      <c r="E19">
        <f>$B$9*D19</f>
        <v>114.8</v>
      </c>
      <c r="F19">
        <f>E19*$A$5</f>
        <v>15.347593582887697</v>
      </c>
      <c r="G19" s="32">
        <v>17.5</v>
      </c>
      <c r="H19" s="32">
        <v>18.5</v>
      </c>
      <c r="J19">
        <f>G19*(1+$B$10)</f>
        <v>18.375</v>
      </c>
      <c r="K19">
        <f>$B$10*G19</f>
        <v>0.875</v>
      </c>
      <c r="L19">
        <f>C19*$B$11</f>
        <v>32.800000000000004</v>
      </c>
      <c r="M19" s="5">
        <f>($B$11+$B$10)*G19</f>
        <v>7.875</v>
      </c>
      <c r="N19" s="7"/>
      <c r="P19" s="7">
        <v>22019</v>
      </c>
      <c r="Q19" s="35">
        <v>2.6</v>
      </c>
      <c r="R19" s="7">
        <v>16.5</v>
      </c>
      <c r="S19" s="42">
        <f>P19/B19</f>
        <v>1100.95</v>
      </c>
      <c r="T19" s="43">
        <f>Q19/B19</f>
        <v>0.13</v>
      </c>
    </row>
    <row r="20" spans="2:21">
      <c r="B20" s="8">
        <v>25</v>
      </c>
      <c r="C20" s="8">
        <v>102</v>
      </c>
      <c r="D20">
        <f t="shared" ref="D20:D30" si="0">C20*$B$8</f>
        <v>71.399999999999991</v>
      </c>
      <c r="E20">
        <f t="shared" ref="E20:E30" si="1">$B$9*D20</f>
        <v>142.79999999999998</v>
      </c>
      <c r="F20">
        <f t="shared" ref="F20:F30" si="2">E20*$A$5</f>
        <v>19.090909090909086</v>
      </c>
      <c r="G20" s="8">
        <v>21.8</v>
      </c>
      <c r="H20" s="8">
        <v>22.9</v>
      </c>
      <c r="J20">
        <f t="shared" ref="J20:J28" si="3">G20*(1+$B$10)</f>
        <v>22.89</v>
      </c>
      <c r="K20">
        <f t="shared" ref="K20:K28" si="4">$B$10*G20</f>
        <v>1.0900000000000001</v>
      </c>
      <c r="L20">
        <f t="shared" ref="L20:L30" si="5">C20*$B$11</f>
        <v>40.800000000000004</v>
      </c>
      <c r="M20" s="5">
        <f t="shared" ref="M20:M28" si="6">($B$11+$B$10)*G20</f>
        <v>9.81</v>
      </c>
      <c r="P20">
        <v>27121</v>
      </c>
      <c r="Q20" s="5">
        <v>3.2</v>
      </c>
      <c r="R20" s="5">
        <v>16.5</v>
      </c>
      <c r="S20" s="36">
        <f t="shared" ref="S20:S30" si="7">P20/B20</f>
        <v>1084.8399999999999</v>
      </c>
      <c r="T20" s="38">
        <f t="shared" ref="T20:T30" si="8">Q20/B20</f>
        <v>0.128</v>
      </c>
    </row>
    <row r="21" spans="2:21">
      <c r="B21" s="8">
        <v>50</v>
      </c>
      <c r="C21" s="8">
        <v>226</v>
      </c>
      <c r="D21">
        <f t="shared" si="0"/>
        <v>158.19999999999999</v>
      </c>
      <c r="E21">
        <f t="shared" si="1"/>
        <v>316.39999999999998</v>
      </c>
      <c r="F21">
        <f t="shared" si="2"/>
        <v>42.299465240641702</v>
      </c>
      <c r="G21" s="8">
        <v>42.7</v>
      </c>
      <c r="H21" s="8">
        <v>45</v>
      </c>
      <c r="J21">
        <f t="shared" si="3"/>
        <v>44.835000000000008</v>
      </c>
      <c r="K21">
        <f t="shared" si="4"/>
        <v>2.1350000000000002</v>
      </c>
      <c r="L21">
        <f t="shared" si="5"/>
        <v>90.4</v>
      </c>
      <c r="M21" s="5">
        <f t="shared" si="6"/>
        <v>19.215000000000003</v>
      </c>
      <c r="P21">
        <v>49944</v>
      </c>
      <c r="Q21" s="5">
        <v>5.9</v>
      </c>
      <c r="R21" s="5">
        <v>15.7</v>
      </c>
      <c r="S21" s="36">
        <f t="shared" si="7"/>
        <v>998.88</v>
      </c>
      <c r="T21" s="38">
        <f t="shared" si="8"/>
        <v>0.11800000000000001</v>
      </c>
    </row>
    <row r="22" spans="2:21">
      <c r="B22" s="8">
        <v>75</v>
      </c>
      <c r="C22" s="8">
        <v>365</v>
      </c>
      <c r="D22">
        <f t="shared" si="0"/>
        <v>255.49999999999997</v>
      </c>
      <c r="E22">
        <f t="shared" si="1"/>
        <v>510.99999999999994</v>
      </c>
      <c r="F22">
        <f t="shared" si="2"/>
        <v>68.315508021390357</v>
      </c>
      <c r="G22" s="8">
        <v>64.099999999999994</v>
      </c>
      <c r="H22" s="8">
        <v>67.599999999999994</v>
      </c>
      <c r="J22">
        <f t="shared" si="3"/>
        <v>67.304999999999993</v>
      </c>
      <c r="K22">
        <f t="shared" si="4"/>
        <v>3.2050000000000001</v>
      </c>
      <c r="L22">
        <f t="shared" si="5"/>
        <v>146</v>
      </c>
      <c r="M22" s="5">
        <f t="shared" si="6"/>
        <v>28.844999999999999</v>
      </c>
      <c r="P22">
        <v>73604</v>
      </c>
      <c r="Q22" s="5">
        <v>8.8000000000000007</v>
      </c>
      <c r="R22" s="5">
        <v>15.4</v>
      </c>
      <c r="S22" s="36">
        <f t="shared" si="7"/>
        <v>981.38666666666666</v>
      </c>
      <c r="T22" s="38">
        <f t="shared" si="8"/>
        <v>0.11733333333333335</v>
      </c>
    </row>
    <row r="23" spans="2:21">
      <c r="B23" s="8">
        <v>100</v>
      </c>
      <c r="C23" s="8">
        <v>473</v>
      </c>
      <c r="D23">
        <f t="shared" si="0"/>
        <v>331.09999999999997</v>
      </c>
      <c r="E23">
        <f t="shared" si="1"/>
        <v>662.19999999999993</v>
      </c>
      <c r="F23">
        <f t="shared" si="2"/>
        <v>88.529411764705856</v>
      </c>
      <c r="G23" s="8">
        <v>85.4</v>
      </c>
      <c r="H23" s="8">
        <v>90.1</v>
      </c>
      <c r="J23">
        <f t="shared" si="3"/>
        <v>89.670000000000016</v>
      </c>
      <c r="K23">
        <f t="shared" si="4"/>
        <v>4.2700000000000005</v>
      </c>
      <c r="L23">
        <f t="shared" si="5"/>
        <v>189.20000000000002</v>
      </c>
      <c r="M23" s="5">
        <f t="shared" si="6"/>
        <v>38.430000000000007</v>
      </c>
      <c r="P23">
        <v>98968</v>
      </c>
      <c r="Q23" s="5">
        <v>11.8</v>
      </c>
      <c r="R23" s="5">
        <v>15.5</v>
      </c>
      <c r="S23" s="36">
        <f t="shared" si="7"/>
        <v>989.68</v>
      </c>
      <c r="T23" s="38">
        <f t="shared" si="8"/>
        <v>0.11800000000000001</v>
      </c>
    </row>
    <row r="24" spans="2:21">
      <c r="B24" s="8">
        <v>125</v>
      </c>
      <c r="C24" s="8">
        <v>551</v>
      </c>
      <c r="D24">
        <f t="shared" si="0"/>
        <v>385.7</v>
      </c>
      <c r="E24">
        <f t="shared" si="1"/>
        <v>771.4</v>
      </c>
      <c r="F24">
        <f t="shared" si="2"/>
        <v>103.12834224598929</v>
      </c>
      <c r="G24" s="8">
        <v>106</v>
      </c>
      <c r="H24" s="8">
        <v>111.8</v>
      </c>
      <c r="J24">
        <f t="shared" si="3"/>
        <v>111.30000000000001</v>
      </c>
      <c r="K24">
        <f t="shared" si="4"/>
        <v>5.3000000000000007</v>
      </c>
      <c r="L24">
        <f t="shared" si="5"/>
        <v>220.4</v>
      </c>
      <c r="M24" s="5">
        <f t="shared" si="6"/>
        <v>47.7</v>
      </c>
      <c r="P24">
        <v>125623</v>
      </c>
      <c r="Q24" s="5">
        <v>15</v>
      </c>
      <c r="R24" s="5">
        <v>15.8</v>
      </c>
      <c r="S24" s="36">
        <f t="shared" si="7"/>
        <v>1004.984</v>
      </c>
      <c r="T24" s="38">
        <f t="shared" si="8"/>
        <v>0.12</v>
      </c>
    </row>
    <row r="25" spans="2:21">
      <c r="B25" s="8">
        <v>150</v>
      </c>
      <c r="C25" s="8">
        <v>729</v>
      </c>
      <c r="D25">
        <f t="shared" si="0"/>
        <v>510.29999999999995</v>
      </c>
      <c r="E25">
        <f t="shared" si="1"/>
        <v>1020.5999999999999</v>
      </c>
      <c r="F25">
        <f t="shared" si="2"/>
        <v>136.44385026737964</v>
      </c>
      <c r="G25" s="8">
        <v>126.3</v>
      </c>
      <c r="H25" s="8">
        <v>133.19999999999999</v>
      </c>
      <c r="J25">
        <f t="shared" si="3"/>
        <v>132.61500000000001</v>
      </c>
      <c r="K25">
        <f t="shared" si="4"/>
        <v>6.3150000000000004</v>
      </c>
      <c r="L25">
        <f t="shared" si="5"/>
        <v>291.60000000000002</v>
      </c>
      <c r="M25" s="5">
        <f t="shared" si="6"/>
        <v>56.835000000000001</v>
      </c>
      <c r="P25">
        <v>149657</v>
      </c>
      <c r="Q25" s="5">
        <v>17.8</v>
      </c>
      <c r="R25" s="5">
        <v>15.8</v>
      </c>
      <c r="S25" s="36">
        <f t="shared" si="7"/>
        <v>997.71333333333337</v>
      </c>
      <c r="T25" s="38">
        <f t="shared" si="8"/>
        <v>0.11866666666666667</v>
      </c>
    </row>
    <row r="26" spans="2:21">
      <c r="B26" s="8">
        <v>200</v>
      </c>
      <c r="C26" s="8">
        <v>963</v>
      </c>
      <c r="D26">
        <f t="shared" si="0"/>
        <v>674.09999999999991</v>
      </c>
      <c r="E26">
        <f t="shared" si="1"/>
        <v>1348.1999999999998</v>
      </c>
      <c r="F26">
        <f t="shared" si="2"/>
        <v>180.2406417112299</v>
      </c>
      <c r="G26" s="8">
        <v>166.5</v>
      </c>
      <c r="H26" s="8">
        <v>175.5</v>
      </c>
      <c r="J26">
        <f t="shared" si="3"/>
        <v>174.82500000000002</v>
      </c>
      <c r="K26">
        <f t="shared" si="4"/>
        <v>8.3250000000000011</v>
      </c>
      <c r="L26">
        <f t="shared" si="5"/>
        <v>385.20000000000005</v>
      </c>
      <c r="M26" s="5">
        <f t="shared" si="6"/>
        <v>74.924999999999997</v>
      </c>
      <c r="P26">
        <v>196087</v>
      </c>
      <c r="Q26" s="5">
        <v>23.3</v>
      </c>
      <c r="R26" s="5">
        <v>15.8</v>
      </c>
      <c r="S26" s="36">
        <f t="shared" si="7"/>
        <v>980.43499999999995</v>
      </c>
      <c r="T26" s="38">
        <f t="shared" si="8"/>
        <v>0.11650000000000001</v>
      </c>
    </row>
    <row r="27" spans="2:21">
      <c r="B27" s="8">
        <v>250</v>
      </c>
      <c r="C27" s="8">
        <v>1204</v>
      </c>
      <c r="D27">
        <f t="shared" si="0"/>
        <v>842.8</v>
      </c>
      <c r="E27">
        <f t="shared" si="1"/>
        <v>1685.6</v>
      </c>
      <c r="F27">
        <f t="shared" si="2"/>
        <v>225.34759358288764</v>
      </c>
      <c r="G27" s="8">
        <v>209.2</v>
      </c>
      <c r="H27" s="8">
        <v>220.6</v>
      </c>
      <c r="J27">
        <f t="shared" si="3"/>
        <v>219.66</v>
      </c>
      <c r="K27">
        <f t="shared" si="4"/>
        <v>10.46</v>
      </c>
      <c r="L27">
        <f t="shared" si="5"/>
        <v>481.6</v>
      </c>
      <c r="M27" s="5">
        <f t="shared" si="6"/>
        <v>94.14</v>
      </c>
      <c r="P27">
        <v>237592</v>
      </c>
      <c r="Q27" s="5">
        <v>28.3</v>
      </c>
      <c r="R27" s="5">
        <v>15.3</v>
      </c>
      <c r="S27" s="36">
        <f t="shared" si="7"/>
        <v>950.36800000000005</v>
      </c>
      <c r="T27" s="38">
        <f t="shared" si="8"/>
        <v>0.11320000000000001</v>
      </c>
    </row>
    <row r="28" spans="2:21">
      <c r="B28" s="8">
        <v>300</v>
      </c>
      <c r="C28" s="8">
        <v>1417</v>
      </c>
      <c r="D28">
        <f t="shared" si="0"/>
        <v>991.9</v>
      </c>
      <c r="E28">
        <f t="shared" si="1"/>
        <v>1983.8</v>
      </c>
      <c r="F28">
        <f t="shared" si="2"/>
        <v>265.21390374331548</v>
      </c>
      <c r="G28" s="8">
        <v>249.7</v>
      </c>
      <c r="H28" s="8">
        <v>263.3</v>
      </c>
      <c r="J28">
        <f t="shared" si="3"/>
        <v>262.185</v>
      </c>
      <c r="K28">
        <f t="shared" si="4"/>
        <v>12.484999999999999</v>
      </c>
      <c r="L28">
        <f t="shared" si="5"/>
        <v>566.80000000000007</v>
      </c>
      <c r="M28" s="5">
        <f t="shared" si="6"/>
        <v>112.36499999999999</v>
      </c>
      <c r="P28">
        <v>285740</v>
      </c>
      <c r="Q28" s="5">
        <v>34</v>
      </c>
      <c r="R28" s="5">
        <v>15.4</v>
      </c>
      <c r="S28" s="36">
        <f t="shared" si="7"/>
        <v>952.4666666666667</v>
      </c>
      <c r="T28" s="38">
        <f t="shared" si="8"/>
        <v>0.11333333333333333</v>
      </c>
    </row>
    <row r="29" spans="2:21">
      <c r="B29" s="8">
        <v>400</v>
      </c>
      <c r="C29" s="8">
        <v>1897</v>
      </c>
      <c r="D29">
        <f t="shared" si="0"/>
        <v>1327.8999999999999</v>
      </c>
      <c r="E29">
        <f t="shared" si="1"/>
        <v>2655.7999999999997</v>
      </c>
      <c r="F29">
        <f t="shared" si="2"/>
        <v>355.05347593582877</v>
      </c>
      <c r="G29" s="8">
        <v>331.6</v>
      </c>
      <c r="H29" s="8">
        <v>349.6</v>
      </c>
      <c r="J29">
        <f>G29*(1+$B$10)</f>
        <v>348.18000000000006</v>
      </c>
      <c r="K29">
        <f>$B$10*G29</f>
        <v>16.580000000000002</v>
      </c>
      <c r="L29">
        <f t="shared" si="5"/>
        <v>758.80000000000007</v>
      </c>
      <c r="M29" s="5">
        <f>($B$11+$B$10)*G29</f>
        <v>149.22000000000003</v>
      </c>
      <c r="P29">
        <v>380718</v>
      </c>
      <c r="Q29" s="5">
        <v>45.3</v>
      </c>
      <c r="R29" s="5">
        <v>15.4</v>
      </c>
      <c r="S29" s="36">
        <f t="shared" si="7"/>
        <v>951.79499999999996</v>
      </c>
      <c r="T29" s="38">
        <f t="shared" si="8"/>
        <v>0.11324999999999999</v>
      </c>
    </row>
    <row r="30" spans="2:21" ht="15" thickBot="1">
      <c r="B30" s="8">
        <v>500</v>
      </c>
      <c r="C30" s="8">
        <v>2463</v>
      </c>
      <c r="D30">
        <f t="shared" si="0"/>
        <v>1724.1</v>
      </c>
      <c r="E30">
        <f t="shared" si="1"/>
        <v>3448.2</v>
      </c>
      <c r="F30">
        <f t="shared" si="2"/>
        <v>460.98930481283412</v>
      </c>
      <c r="G30" s="8">
        <v>414.4</v>
      </c>
      <c r="H30" s="8">
        <v>437</v>
      </c>
      <c r="J30">
        <f>G30*(1+$B$10)</f>
        <v>435.12</v>
      </c>
      <c r="K30">
        <f>$B$10*G30</f>
        <v>20.72</v>
      </c>
      <c r="L30">
        <f t="shared" si="5"/>
        <v>985.2</v>
      </c>
      <c r="M30" s="5">
        <f>($B$11+$B$10)*G30</f>
        <v>186.48</v>
      </c>
      <c r="P30">
        <v>477082</v>
      </c>
      <c r="Q30" s="5">
        <v>56.8</v>
      </c>
      <c r="R30" s="5">
        <v>15.4</v>
      </c>
      <c r="S30" s="37">
        <f t="shared" si="7"/>
        <v>954.16399999999999</v>
      </c>
      <c r="T30" s="39">
        <f t="shared" si="8"/>
        <v>0.11359999999999999</v>
      </c>
    </row>
    <row r="31" spans="2:21" ht="15" thickBot="1">
      <c r="S31" s="37">
        <f>AVERAGE(S20:S30)</f>
        <v>986.06478787878802</v>
      </c>
      <c r="T31" s="39">
        <f>AVERAGE(T20:T30)</f>
        <v>0.11726212121212121</v>
      </c>
      <c r="U31" t="s">
        <v>23</v>
      </c>
    </row>
    <row r="32" spans="2:21" ht="15" thickBot="1">
      <c r="S32" s="37">
        <f>SUMPRODUCT(S20:S30,B20:B30)/SUM(B20:B30)</f>
        <v>966.49931034482756</v>
      </c>
      <c r="T32" s="39">
        <f>SUMPRODUCT(T20:T30,B20:B30)/SUM(B20:B30)</f>
        <v>0.11503448275862069</v>
      </c>
      <c r="U32" t="s">
        <v>24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15"/>
  <sheetViews>
    <sheetView workbookViewId="0"/>
  </sheetViews>
  <sheetFormatPr defaultRowHeight="14.4"/>
  <cols>
    <col min="2" max="2" width="37" customWidth="1"/>
    <col min="3" max="3" width="20.5546875" customWidth="1"/>
  </cols>
  <sheetData>
    <row r="1" spans="1:4">
      <c r="A1" t="s">
        <v>109</v>
      </c>
    </row>
    <row r="4" spans="1:4">
      <c r="A4" t="s">
        <v>89</v>
      </c>
      <c r="C4" t="s">
        <v>113</v>
      </c>
      <c r="D4" t="s">
        <v>108</v>
      </c>
    </row>
    <row r="5" spans="1:4">
      <c r="B5" t="s">
        <v>105</v>
      </c>
      <c r="D5" s="53" t="s">
        <v>106</v>
      </c>
    </row>
    <row r="6" spans="1:4">
      <c r="B6" t="s">
        <v>93</v>
      </c>
    </row>
    <row r="7" spans="1:4">
      <c r="B7" t="s">
        <v>90</v>
      </c>
    </row>
    <row r="8" spans="1:4">
      <c r="B8" t="s">
        <v>91</v>
      </c>
    </row>
    <row r="9" spans="1:4">
      <c r="B9" t="s">
        <v>92</v>
      </c>
      <c r="C9" t="s">
        <v>107</v>
      </c>
    </row>
    <row r="10" spans="1:4">
      <c r="B10" t="s">
        <v>94</v>
      </c>
      <c r="C10" t="s">
        <v>111</v>
      </c>
      <c r="D10" s="53" t="s">
        <v>95</v>
      </c>
    </row>
    <row r="11" spans="1:4">
      <c r="B11" t="s">
        <v>103</v>
      </c>
      <c r="C11" t="s">
        <v>112</v>
      </c>
      <c r="D11" s="53" t="s">
        <v>104</v>
      </c>
    </row>
    <row r="12" spans="1:4">
      <c r="B12" t="s">
        <v>96</v>
      </c>
      <c r="C12" t="s">
        <v>99</v>
      </c>
      <c r="D12" s="53" t="s">
        <v>97</v>
      </c>
    </row>
    <row r="13" spans="1:4">
      <c r="C13" t="s">
        <v>100</v>
      </c>
      <c r="D13" s="53" t="s">
        <v>98</v>
      </c>
    </row>
    <row r="14" spans="1:4">
      <c r="C14" t="s">
        <v>102</v>
      </c>
      <c r="D14" s="53" t="s">
        <v>101</v>
      </c>
    </row>
    <row r="15" spans="1:4">
      <c r="B15" t="s">
        <v>110</v>
      </c>
      <c r="C15" t="s">
        <v>114</v>
      </c>
    </row>
  </sheetData>
  <hyperlinks>
    <hyperlink ref="D10" r:id="rId1"/>
    <hyperlink ref="D12" r:id="rId2"/>
    <hyperlink ref="D13" r:id="rId3"/>
    <hyperlink ref="D14" r:id="rId4"/>
    <hyperlink ref="D11" r:id="rId5"/>
    <hyperlink ref="D5" r:id="rId6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DED26DBB77D14CBDD35401EA8BA69A" ma:contentTypeVersion="10" ma:contentTypeDescription="Create a new document." ma:contentTypeScope="" ma:versionID="1fad7da1f81167c3503be05f4cbefc7b">
  <xsd:schema xmlns:xsd="http://www.w3.org/2001/XMLSchema" xmlns:xs="http://www.w3.org/2001/XMLSchema" xmlns:p="http://schemas.microsoft.com/office/2006/metadata/properties" xmlns:ns2="da71d01b-0173-42d4-bd9e-03574c50f54f" xmlns:ns3="870e7c11-ae1f-4d3d-a559-665563d266b8" targetNamespace="http://schemas.microsoft.com/office/2006/metadata/properties" ma:root="true" ma:fieldsID="5fed50303cf39799df9c900ae6e16b64" ns2:_="" ns3:_="">
    <xsd:import namespace="da71d01b-0173-42d4-bd9e-03574c50f54f"/>
    <xsd:import namespace="870e7c11-ae1f-4d3d-a559-665563d266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71d01b-0173-42d4-bd9e-03574c50f5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e7c11-ae1f-4d3d-a559-665563d266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23648D-7860-4021-93FC-10377209C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E42D3E-73CC-465F-A003-2F50BDD158E5}">
  <ds:schemaRefs>
    <ds:schemaRef ds:uri="870e7c11-ae1f-4d3d-a559-665563d266b8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da71d01b-0173-42d4-bd9e-03574c50f5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4DB85EA-98B4-49A1-A7CB-F433AE294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71d01b-0173-42d4-bd9e-03574c50f54f"/>
    <ds:schemaRef ds:uri="870e7c11-ae1f-4d3d-a559-665563d266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VFD Costs 2018 RS Means REA</vt:lpstr>
      <vt:lpstr>Air Compressor Costs New-ROB</vt:lpstr>
      <vt:lpstr>Grainger 2018</vt:lpstr>
      <vt:lpstr>AM+ Results</vt:lpstr>
      <vt:lpstr>compressor calculations</vt:lpstr>
      <vt:lpstr>Building types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Casey</dc:creator>
  <cp:lastModifiedBy>Ajay Wadhera</cp:lastModifiedBy>
  <dcterms:created xsi:type="dcterms:W3CDTF">2012-04-02T16:14:17Z</dcterms:created>
  <dcterms:modified xsi:type="dcterms:W3CDTF">2018-06-12T15:38:40Z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0x01010028DED26DBB77D14CBDD35401EA8BA69A</vt:lpwstr>
  </property>
</Properties>
</file>